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Academic Units\Funding\Sessional Funding\Sessional Funding Template\For Business Officers to upload on website\2024-25\"/>
    </mc:Choice>
  </mc:AlternateContent>
  <xr:revisionPtr revIDLastSave="0" documentId="13_ncr:1_{5D61CCF7-A5CE-4565-B50F-5050DB261C22}" xr6:coauthVersionLast="47" xr6:coauthVersionMax="47" xr10:uidLastSave="{00000000-0000-0000-0000-000000000000}"/>
  <bookViews>
    <workbookView xWindow="-120" yWindow="-120" windowWidth="29040" windowHeight="17640" xr2:uid="{00000000-000D-0000-FFFF-FFFF00000000}"/>
  </bookViews>
  <sheets>
    <sheet name="Instructions" sheetId="4" r:id="rId1"/>
    <sheet name="How To" sheetId="3" r:id="rId2"/>
    <sheet name="Calculation" sheetId="2" r:id="rId3"/>
  </sheets>
  <definedNames>
    <definedName name="_xlnm.Print_Area" localSheetId="2">Calculation!$A:$K</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0" i="2" l="1"/>
  <c r="G59" i="2"/>
  <c r="F17" i="2" l="1"/>
  <c r="E18" i="2"/>
  <c r="F18" i="2" s="1"/>
  <c r="H13" i="2" l="1"/>
  <c r="D27" i="2" l="1"/>
  <c r="D29" i="2" l="1"/>
  <c r="D28" i="2"/>
  <c r="D51" i="2" l="1"/>
  <c r="D52" i="2"/>
  <c r="D50" i="2"/>
  <c r="D40" i="2"/>
  <c r="D41" i="2"/>
  <c r="D39" i="2"/>
  <c r="H17" i="2"/>
  <c r="H12" i="2" l="1"/>
  <c r="A46" i="2"/>
  <c r="B40" i="2"/>
  <c r="B41" i="2"/>
  <c r="B39" i="2"/>
  <c r="B50" i="2"/>
  <c r="B51" i="2"/>
  <c r="B52" i="2"/>
  <c r="J54" i="2"/>
  <c r="B31" i="2"/>
  <c r="C39" i="2" l="1"/>
  <c r="E39" i="2" s="1"/>
  <c r="C27" i="2"/>
  <c r="F27" i="2" s="1"/>
  <c r="B43" i="2"/>
  <c r="B54" i="2"/>
  <c r="H18" i="2"/>
  <c r="H19" i="2" s="1"/>
  <c r="A22" i="2" s="1"/>
  <c r="G50" i="2"/>
  <c r="G51" i="2"/>
  <c r="C50" i="2"/>
  <c r="C40" i="2" l="1"/>
  <c r="F40" i="2" s="1"/>
  <c r="F39" i="2"/>
  <c r="A35" i="2"/>
  <c r="G42" i="2" s="1"/>
  <c r="A23" i="2"/>
  <c r="A34" i="2"/>
  <c r="H27" i="2"/>
  <c r="G52" i="2"/>
  <c r="G54" i="2" s="1"/>
  <c r="E50" i="2"/>
  <c r="C51" i="2"/>
  <c r="F50" i="2"/>
  <c r="E27" i="2"/>
  <c r="C28" i="2"/>
  <c r="E40" i="2" l="1"/>
  <c r="C41" i="2"/>
  <c r="G31" i="2"/>
  <c r="G40" i="2"/>
  <c r="H40" i="2" s="1"/>
  <c r="G41" i="2"/>
  <c r="G39" i="2"/>
  <c r="F28" i="2"/>
  <c r="C29" i="2"/>
  <c r="E28" i="2"/>
  <c r="F41" i="2"/>
  <c r="C42" i="2"/>
  <c r="F42" i="2" s="1"/>
  <c r="H42" i="2" s="1"/>
  <c r="I27" i="2"/>
  <c r="F51" i="2"/>
  <c r="H51" i="2" s="1"/>
  <c r="E51" i="2"/>
  <c r="C52" i="2"/>
  <c r="I50" i="2"/>
  <c r="E41" i="2"/>
  <c r="H50" i="2"/>
  <c r="I40" i="2" l="1"/>
  <c r="J27" i="2"/>
  <c r="K27" i="2" s="1"/>
  <c r="I39" i="2"/>
  <c r="G43" i="2"/>
  <c r="H39" i="2"/>
  <c r="J39" i="2" s="1"/>
  <c r="J40" i="2" s="1"/>
  <c r="I51" i="2"/>
  <c r="K51" i="2" s="1"/>
  <c r="E42" i="2"/>
  <c r="I42" i="2" s="1"/>
  <c r="F52" i="2"/>
  <c r="C53" i="2"/>
  <c r="C54" i="2" s="1"/>
  <c r="E52" i="2"/>
  <c r="I41" i="2"/>
  <c r="I28" i="2"/>
  <c r="C43" i="2"/>
  <c r="C30" i="2"/>
  <c r="F29" i="2"/>
  <c r="H29" i="2" s="1"/>
  <c r="E29" i="2"/>
  <c r="H41" i="2"/>
  <c r="F43" i="2"/>
  <c r="K50" i="2"/>
  <c r="H28" i="2"/>
  <c r="K40" i="2" l="1"/>
  <c r="H43" i="2"/>
  <c r="K39" i="2"/>
  <c r="E43" i="2"/>
  <c r="H52" i="2"/>
  <c r="I29" i="2"/>
  <c r="I52" i="2"/>
  <c r="I43" i="2"/>
  <c r="F30" i="2"/>
  <c r="H30" i="2" s="1"/>
  <c r="H31" i="2" s="1"/>
  <c r="C31" i="2"/>
  <c r="E30" i="2"/>
  <c r="J28" i="2"/>
  <c r="J29" i="2" s="1"/>
  <c r="J41" i="2"/>
  <c r="F53" i="2"/>
  <c r="H53" i="2" s="1"/>
  <c r="E53" i="2"/>
  <c r="K28" i="2" l="1"/>
  <c r="F31" i="2"/>
  <c r="K52" i="2"/>
  <c r="F54" i="2"/>
  <c r="J42" i="2"/>
  <c r="K42" i="2" s="1"/>
  <c r="K29" i="2"/>
  <c r="K53" i="2"/>
  <c r="I53" i="2"/>
  <c r="I54" i="2" s="1"/>
  <c r="E54" i="2"/>
  <c r="I30" i="2"/>
  <c r="I31" i="2" s="1"/>
  <c r="J30" i="2"/>
  <c r="J31" i="2" s="1"/>
  <c r="K41" i="2"/>
  <c r="E31" i="2"/>
  <c r="H54" i="2"/>
  <c r="K30" i="2" l="1"/>
  <c r="K31" i="2" s="1"/>
  <c r="K54" i="2"/>
  <c r="J43" i="2"/>
  <c r="K4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Elizabeth Zammit</author>
  </authors>
  <commentList>
    <comment ref="E12" authorId="0" shapeId="0" xr:uid="{00000000-0006-0000-0200-000001000000}">
      <text>
        <r>
          <rPr>
            <sz val="9"/>
            <color indexed="81"/>
            <rFont val="Tahoma"/>
            <family val="2"/>
          </rPr>
          <t>enter June 30th salary, immediately before phase begins July 1</t>
        </r>
      </text>
    </comment>
    <comment ref="F12" authorId="0" shapeId="0" xr:uid="{00000000-0006-0000-0200-000002000000}">
      <text>
        <r>
          <rPr>
            <sz val="9"/>
            <color indexed="81"/>
            <rFont val="Tahoma"/>
            <family val="2"/>
          </rPr>
          <t>if cross appointed enter UTM Cost Distribution 0.00% (determines salary cost), or
100% if not cross appointed</t>
        </r>
      </text>
    </comment>
    <comment ref="G12" authorId="0" shapeId="0" xr:uid="{00000000-0006-0000-0200-000003000000}">
      <text>
        <r>
          <rPr>
            <b/>
            <sz val="9"/>
            <color indexed="81"/>
            <rFont val="Tahoma"/>
            <family val="2"/>
          </rPr>
          <t>Elizabeth Zammit:</t>
        </r>
        <r>
          <rPr>
            <sz val="9"/>
            <color indexed="81"/>
            <rFont val="Tahoma"/>
            <family val="2"/>
          </rPr>
          <t xml:space="preserve">
if cross appointed input UTM appointment or
100% if not cross appointed
</t>
        </r>
      </text>
    </comment>
    <comment ref="E16" authorId="0" shapeId="0" xr:uid="{00000000-0006-0000-0200-000004000000}">
      <text>
        <r>
          <rPr>
            <sz val="9"/>
            <color indexed="81"/>
            <rFont val="Tahoma"/>
            <family val="2"/>
          </rPr>
          <t>enter year "yyyy" joined pension 
enter year hired until final documents rec'd</t>
        </r>
      </text>
    </comment>
    <comment ref="E17" authorId="0" shapeId="0" xr:uid="{00000000-0006-0000-0200-000005000000}">
      <text>
        <r>
          <rPr>
            <sz val="9"/>
            <color indexed="81"/>
            <rFont val="Tahoma"/>
            <family val="2"/>
          </rPr>
          <t>enter year "yyyy" hired</t>
        </r>
      </text>
    </comment>
    <comment ref="D27" authorId="0" shapeId="0" xr:uid="{00000000-0006-0000-0200-000006000000}">
      <text>
        <r>
          <rPr>
            <sz val="9"/>
            <color indexed="81"/>
            <rFont val="Tahoma"/>
            <family val="2"/>
          </rPr>
          <t>insert annual total increase into formula by replacing "0" with amount of increase</t>
        </r>
      </text>
    </comment>
    <comment ref="D28" authorId="0" shapeId="0" xr:uid="{00000000-0006-0000-0200-000007000000}">
      <text>
        <r>
          <rPr>
            <sz val="9"/>
            <color indexed="81"/>
            <rFont val="Tahoma"/>
            <family val="2"/>
          </rPr>
          <t>insert annual total increase into formula by replacing "0" with amount of increase</t>
        </r>
      </text>
    </comment>
    <comment ref="D29" authorId="0" shapeId="0" xr:uid="{00000000-0006-0000-0200-000008000000}">
      <text>
        <r>
          <rPr>
            <sz val="9"/>
            <color indexed="81"/>
            <rFont val="Tahoma"/>
            <family val="2"/>
          </rPr>
          <t>insert annual total increase into formula by replacing "0" with amount of increase</t>
        </r>
      </text>
    </comment>
    <comment ref="E59" authorId="0" shapeId="0" xr:uid="{00000000-0006-0000-0200-000009000000}">
      <text>
        <r>
          <rPr>
            <sz val="9"/>
            <color indexed="81"/>
            <rFont val="Tahoma"/>
            <family val="2"/>
          </rPr>
          <t>insert current benefit rate as per budget</t>
        </r>
      </text>
    </comment>
    <comment ref="G59" authorId="0" shapeId="0" xr:uid="{00000000-0006-0000-0200-00000A000000}">
      <text>
        <r>
          <rPr>
            <sz val="9"/>
            <color indexed="81"/>
            <rFont val="Tahoma"/>
            <family val="2"/>
          </rPr>
          <t>insert current benefit rate as per budget</t>
        </r>
      </text>
    </comment>
    <comment ref="I59" authorId="0" shapeId="0" xr:uid="{00000000-0006-0000-0200-00000B000000}">
      <text>
        <r>
          <rPr>
            <sz val="9"/>
            <color indexed="81"/>
            <rFont val="Tahoma"/>
            <family val="2"/>
          </rPr>
          <t>insert current benefit rate as per budget</t>
        </r>
      </text>
    </comment>
    <comment ref="K59" authorId="0" shapeId="0" xr:uid="{00000000-0006-0000-0200-00000C000000}">
      <text>
        <r>
          <rPr>
            <sz val="9"/>
            <color indexed="81"/>
            <rFont val="Tahoma"/>
            <family val="2"/>
          </rPr>
          <t>insert current benefit rate as per budget</t>
        </r>
      </text>
    </comment>
  </commentList>
</comments>
</file>

<file path=xl/sharedStrings.xml><?xml version="1.0" encoding="utf-8"?>
<sst xmlns="http://schemas.openxmlformats.org/spreadsheetml/2006/main" count="200" uniqueCount="122">
  <si>
    <t>Phased Retirement Allowance Calculation</t>
  </si>
  <si>
    <t>Name:</t>
  </si>
  <si>
    <t>Personnel Number:</t>
  </si>
  <si>
    <t>Employment Date:</t>
  </si>
  <si>
    <t>Pension Enrolment:</t>
  </si>
  <si>
    <t>Start Date of Phased Retirement:</t>
  </si>
  <si>
    <t>Final Retirement Date:</t>
  </si>
  <si>
    <t>June 30th base salary</t>
  </si>
  <si>
    <t>immediately before start date:</t>
  </si>
  <si>
    <t>Maximum Amount Shelterable in RRSP</t>
  </si>
  <si>
    <t>Pre 1996 Employment Service - $2,000/year</t>
  </si>
  <si>
    <t>will be charged to the department in July at the beginning of each year of the phased retirement</t>
  </si>
  <si>
    <t>payroll</t>
  </si>
  <si>
    <t>Savings</t>
  </si>
  <si>
    <t>Total Cost</t>
  </si>
  <si>
    <t>All ATB and PTR transfers to the department are calculated at 100% salary not the phased reduction being paid.</t>
  </si>
  <si>
    <t>Option a)</t>
  </si>
  <si>
    <t>Option b)</t>
  </si>
  <si>
    <t>Option c)</t>
  </si>
  <si>
    <t>Budget</t>
  </si>
  <si>
    <t>Salary</t>
  </si>
  <si>
    <t>Actual</t>
  </si>
  <si>
    <t>Supplement</t>
  </si>
  <si>
    <t>Benefits</t>
  </si>
  <si>
    <t>Yes</t>
  </si>
  <si>
    <t>No</t>
  </si>
  <si>
    <t>Supplement/Total Retiring Allowance Available</t>
  </si>
  <si>
    <t>Benefit Rate used:</t>
  </si>
  <si>
    <t>Manual</t>
  </si>
  <si>
    <t>Reserve</t>
  </si>
  <si>
    <t>Saving after</t>
  </si>
  <si>
    <t>Pre 1989 Service - additional $1,500/year</t>
  </si>
  <si>
    <t>increase</t>
  </si>
  <si>
    <t>plus</t>
  </si>
  <si>
    <t>10/12ths</t>
  </si>
  <si>
    <t>Include</t>
  </si>
  <si>
    <t>Phased %</t>
  </si>
  <si>
    <t>Approved</t>
  </si>
  <si>
    <t>Department:</t>
  </si>
  <si>
    <t>will be charged to the department in June 30 at the end of the phased retirement</t>
  </si>
  <si>
    <t>RRSP will be charged to the department in June 30 at the end of the phased retirement</t>
  </si>
  <si>
    <t>Joined Pension Plan Membership</t>
  </si>
  <si>
    <r>
      <t xml:space="preserve">for any year </t>
    </r>
    <r>
      <rPr>
        <b/>
        <sz val="8"/>
        <rFont val="Arial"/>
        <family val="2"/>
      </rPr>
      <t>not a member</t>
    </r>
    <r>
      <rPr>
        <sz val="8"/>
        <rFont val="Arial"/>
        <family val="2"/>
      </rPr>
      <t xml:space="preserve"> of pension plan</t>
    </r>
  </si>
  <si>
    <t>Phased Retirement Salary and Benefit Cost Calculation - Introduction</t>
  </si>
  <si>
    <t>Department</t>
  </si>
  <si>
    <t>mm/dd/yy</t>
  </si>
  <si>
    <t>Pers Number</t>
  </si>
  <si>
    <t>When a faculty member's application for Phased Retirement has been approved a detailed schedule for the payout, based on the selection the faculty member made, will be forwarded to HR for processing in HRIS.</t>
  </si>
  <si>
    <t>This is the most difficult to plan for as the supplement is not paid until June 30 the year the faculty member retires. The department must ensure savings in year 1, 2 &amp; 3 cover the cost in year 4.</t>
  </si>
  <si>
    <t>Name of Retiree</t>
  </si>
  <si>
    <t>Cells shaded this colour on the "Calculation Tab" are revisable</t>
  </si>
  <si>
    <t>Cell</t>
  </si>
  <si>
    <t>F2</t>
  </si>
  <si>
    <t>Name of Faculty Member</t>
  </si>
  <si>
    <t>E3</t>
  </si>
  <si>
    <t>Personnel Number</t>
  </si>
  <si>
    <t>Employment Date</t>
  </si>
  <si>
    <t>Pension Enrolment Date</t>
  </si>
  <si>
    <t>Phased Retirement Start Date</t>
  </si>
  <si>
    <t>Final Retirement Date</t>
  </si>
  <si>
    <t>June 30th Salary before Phased retirement begins</t>
  </si>
  <si>
    <t>4 digit year joined pension plan</t>
  </si>
  <si>
    <t>4 digit year employment date</t>
  </si>
  <si>
    <t>Fiscal years for Phased Retirement period</t>
  </si>
  <si>
    <t>FTE % Appointment for Phased period</t>
  </si>
  <si>
    <t>Year 1 - ATB + PTR increase @ 100%</t>
  </si>
  <si>
    <t>Year 2 - ATB + PTR increase @ 100%</t>
  </si>
  <si>
    <t>Year 3 - ATB + PTR increase @ 100%</t>
  </si>
  <si>
    <t>E12</t>
  </si>
  <si>
    <t>F12</t>
  </si>
  <si>
    <t>E16</t>
  </si>
  <si>
    <t>E17</t>
  </si>
  <si>
    <t>A27-30</t>
  </si>
  <si>
    <t>B27-29</t>
  </si>
  <si>
    <t>Application for Phased Retirement</t>
  </si>
  <si>
    <t>HRIS</t>
  </si>
  <si>
    <t>ATB/PTR file from Business Services</t>
  </si>
  <si>
    <t>Information obtained by using this calculation template is to be considered an estimate</t>
  </si>
  <si>
    <t>D27*</t>
  </si>
  <si>
    <t>D28*</t>
  </si>
  <si>
    <t>D29*</t>
  </si>
  <si>
    <t>Calculations in this workbook are based on the ATB+PTR increases being updated during the fiscal year they become effective</t>
  </si>
  <si>
    <t>* enter the (atb+ptr) amount into the formula already in the cell replacing the "0" in "0*10/12"</t>
  </si>
  <si>
    <t>Cost distribution of cross appointed faculty members will also affect the actual amount of savings</t>
  </si>
  <si>
    <t>The department will continue to be funded for the faculty member at 100% of salary during the four fiscal year period of the Phased Retirement even though the faculty member will be paid at a reduced percentage.</t>
  </si>
  <si>
    <t>The department has received 100% of the faculty member's salary but paid out only the percentage approved.</t>
  </si>
  <si>
    <t>UTM Department Name</t>
  </si>
  <si>
    <t>There are 3 equal installments paid in July of each year of the phased retirement plan, no future payouts need to be planned for.</t>
  </si>
  <si>
    <t>For each year of the phased retirement a manual reserve in the amount indicated in the "Phased Retirement Allowance Calculation" should be set up.</t>
  </si>
  <si>
    <t>Because of the Shelterable RRSP that is paid out June 30 the year the faculty member retires a reserve of this payout will need to be set up in the same manner as indicated in Option "A" to make sure the funds are available when paid.</t>
  </si>
  <si>
    <t>Option B &amp; C atb+ptr amounts are linked to entries in Cells D27, D28 &amp; D29 in option A</t>
  </si>
  <si>
    <t>Retro payments dating back to a prior year will effect the actual saving achieved for that year and possibly the year after</t>
  </si>
  <si>
    <t>The 3 equal installments that are paid in addition to the Sheltered RRSP are done in the July pay of each year of the phased retirement, no additional planning for these funds should be required.</t>
  </si>
  <si>
    <t>For use with Options A &amp; B only:</t>
  </si>
  <si>
    <t>How to complete the Phased Retirement Calculation Worksheet</t>
  </si>
  <si>
    <t>The difference between the funding and the expense is used to make the payments for the July 1 installments and/or the lump sum payment at the end of the phased retirement period. Any funds that remain are used towards Stipend and Sessional Lecturer funding requests.</t>
  </si>
  <si>
    <t>Location of Information</t>
  </si>
  <si>
    <t>All figures except the supplement are affected annually by ATB &amp; PTR.</t>
  </si>
  <si>
    <t>Required Information</t>
  </si>
  <si>
    <t>UTM CD</t>
  </si>
  <si>
    <t>UTM Appt</t>
  </si>
  <si>
    <t>UTM $ Cost</t>
  </si>
  <si>
    <t>Salary Jun 30 before phase start</t>
  </si>
  <si>
    <t>RRSP payment if selected</t>
  </si>
  <si>
    <t>Total Retirement Allowance</t>
  </si>
  <si>
    <t>H4</t>
  </si>
  <si>
    <t>H5</t>
  </si>
  <si>
    <t>H6</t>
  </si>
  <si>
    <t>H8</t>
  </si>
  <si>
    <t>H9</t>
  </si>
  <si>
    <t>G12</t>
  </si>
  <si>
    <t>Cost Distribution charged to UTM at June 30 before phase starts</t>
  </si>
  <si>
    <t>Cross Appointment, UTM appointment percentage</t>
  </si>
  <si>
    <t>Contract</t>
  </si>
  <si>
    <t>HRIS, assume hire date</t>
  </si>
  <si>
    <t>2024-25</t>
  </si>
  <si>
    <t>2025-26</t>
  </si>
  <si>
    <t>2026-27</t>
  </si>
  <si>
    <t>2027-28</t>
  </si>
  <si>
    <r>
      <t xml:space="preserve">The  </t>
    </r>
    <r>
      <rPr>
        <sz val="10"/>
        <color rgb="FFFF0000"/>
        <rFont val="Arial"/>
        <family val="2"/>
      </rPr>
      <t>Three-Year Phased Retirement Program Notice of Intention form</t>
    </r>
    <r>
      <rPr>
        <sz val="10"/>
        <rFont val="Arial"/>
      </rPr>
      <t xml:space="preserve"> along with the </t>
    </r>
    <r>
      <rPr>
        <sz val="10"/>
        <color rgb="FFFF0000"/>
        <rFont val="Arial"/>
        <family val="2"/>
      </rPr>
      <t xml:space="preserve">Phased Retirement Allowance calculation spreadsheet </t>
    </r>
    <r>
      <rPr>
        <sz val="10"/>
        <rFont val="Arial"/>
      </rPr>
      <t>from Pension Services (expected that the Department has a copy), contains much of the necessary information to complete the 'Calculation' tab.</t>
    </r>
  </si>
  <si>
    <t xml:space="preserve"> Three-Year Phased Retirement Program Notice of Intention</t>
  </si>
  <si>
    <t xml:space="preserve">Phased Retirement Allowance calculation spreadsheet from Pension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</si>
</sst>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409]d\-mmm\-yyyy;@"/>
    <numFmt numFmtId="166" formatCode="0_);\(0\)"/>
  </numFmts>
  <fonts count="13" x14ac:knownFonts="1">
    <font>
      <sz val="10"/>
      <name val="Arial"/>
    </font>
    <font>
      <sz val="10"/>
      <name val="Arial"/>
      <family val="2"/>
    </font>
    <font>
      <sz val="8"/>
      <name val="Arial"/>
      <family val="2"/>
    </font>
    <font>
      <b/>
      <sz val="10"/>
      <name val="Arial"/>
      <family val="2"/>
    </font>
    <font>
      <b/>
      <sz val="8"/>
      <name val="Arial"/>
      <family val="2"/>
    </font>
    <font>
      <u/>
      <sz val="8"/>
      <name val="Arial"/>
      <family val="2"/>
    </font>
    <font>
      <b/>
      <sz val="8"/>
      <name val="Arial"/>
      <family val="2"/>
    </font>
    <font>
      <sz val="8"/>
      <name val="Arial"/>
      <family val="2"/>
    </font>
    <font>
      <sz val="9"/>
      <color indexed="81"/>
      <name val="Tahoma"/>
      <family val="2"/>
    </font>
    <font>
      <u/>
      <sz val="10"/>
      <name val="Arial"/>
      <family val="2"/>
    </font>
    <font>
      <b/>
      <u/>
      <sz val="10"/>
      <name val="Arial"/>
      <family val="2"/>
    </font>
    <font>
      <b/>
      <sz val="9"/>
      <color indexed="81"/>
      <name val="Tahoma"/>
      <family val="2"/>
    </font>
    <font>
      <sz val="10"/>
      <color rgb="FFFF0000"/>
      <name val="Arial"/>
      <family val="2"/>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0" fillId="0" borderId="0" xfId="0" applyAlignment="1">
      <alignment wrapText="1"/>
    </xf>
    <xf numFmtId="0" fontId="0" fillId="0" borderId="0" xfId="0" applyAlignment="1">
      <alignment horizontal="left" vertical="top"/>
    </xf>
    <xf numFmtId="0" fontId="0" fillId="0" borderId="0" xfId="0" applyAlignment="1">
      <alignment horizontal="left" vertical="top" wrapText="1"/>
    </xf>
    <xf numFmtId="0" fontId="3" fillId="0" borderId="0" xfId="0" applyFont="1" applyAlignment="1">
      <alignment horizontal="left" vertical="top" wrapText="1"/>
    </xf>
    <xf numFmtId="0" fontId="1" fillId="0" borderId="0" xfId="0" applyFont="1" applyAlignment="1">
      <alignment horizontal="left" vertical="top" wrapText="1"/>
    </xf>
    <xf numFmtId="0" fontId="2" fillId="0" borderId="0" xfId="0" applyFont="1" applyProtection="1"/>
    <xf numFmtId="0" fontId="2" fillId="0" borderId="0" xfId="0" applyFont="1" applyAlignment="1" applyProtection="1">
      <alignment horizontal="right"/>
    </xf>
    <xf numFmtId="0" fontId="2" fillId="0" borderId="0" xfId="0" applyFont="1" applyFill="1" applyProtection="1"/>
    <xf numFmtId="165" fontId="2" fillId="0" borderId="0" xfId="0" applyNumberFormat="1" applyFont="1" applyProtection="1"/>
    <xf numFmtId="164" fontId="2" fillId="0" borderId="0" xfId="1" applyNumberFormat="1" applyFont="1" applyProtection="1"/>
    <xf numFmtId="9" fontId="2" fillId="0" borderId="0" xfId="2" applyNumberFormat="1" applyFont="1" applyProtection="1"/>
    <xf numFmtId="164" fontId="2" fillId="0" borderId="0" xfId="0" applyNumberFormat="1" applyFont="1" applyProtection="1"/>
    <xf numFmtId="14" fontId="2" fillId="0" borderId="0" xfId="0" applyNumberFormat="1" applyFont="1" applyProtection="1"/>
    <xf numFmtId="0" fontId="7" fillId="0" borderId="0" xfId="0" applyFont="1" applyProtection="1"/>
    <xf numFmtId="164" fontId="2" fillId="0" borderId="0" xfId="1" applyNumberFormat="1" applyFont="1" applyFill="1" applyProtection="1"/>
    <xf numFmtId="166" fontId="2" fillId="0" borderId="0" xfId="1" applyNumberFormat="1" applyFont="1" applyFill="1" applyProtection="1"/>
    <xf numFmtId="0" fontId="2" fillId="0" borderId="0" xfId="0" applyFont="1" applyAlignment="1" applyProtection="1">
      <alignment horizontal="left" indent="1"/>
    </xf>
    <xf numFmtId="164" fontId="2" fillId="0" borderId="3" xfId="0" applyNumberFormat="1" applyFont="1" applyBorder="1" applyProtection="1"/>
    <xf numFmtId="0" fontId="4" fillId="0" borderId="6" xfId="0" applyFont="1" applyFill="1" applyBorder="1" applyProtection="1"/>
    <xf numFmtId="0" fontId="6" fillId="0" borderId="7" xfId="0" applyFont="1" applyFill="1" applyBorder="1" applyProtection="1"/>
    <xf numFmtId="0" fontId="2" fillId="0" borderId="7" xfId="0" applyFont="1" applyFill="1" applyBorder="1" applyProtection="1"/>
    <xf numFmtId="0" fontId="2" fillId="0" borderId="4" xfId="0" applyFont="1" applyFill="1" applyBorder="1" applyAlignment="1" applyProtection="1">
      <alignment horizontal="center"/>
    </xf>
    <xf numFmtId="164" fontId="2" fillId="0" borderId="8" xfId="0" applyNumberFormat="1" applyFont="1" applyFill="1" applyBorder="1" applyProtection="1"/>
    <xf numFmtId="0" fontId="2" fillId="0" borderId="0" xfId="0" applyFont="1" applyFill="1" applyBorder="1" applyProtection="1"/>
    <xf numFmtId="0" fontId="2" fillId="0" borderId="9" xfId="0" applyFont="1" applyFill="1" applyBorder="1" applyAlignment="1" applyProtection="1">
      <alignment horizontal="center"/>
    </xf>
    <xf numFmtId="0" fontId="2" fillId="0" borderId="8" xfId="0" applyFont="1" applyFill="1" applyBorder="1" applyProtection="1"/>
    <xf numFmtId="0" fontId="2" fillId="0" borderId="0" xfId="0" applyFont="1" applyFill="1" applyBorder="1" applyAlignment="1" applyProtection="1">
      <alignment horizontal="center"/>
    </xf>
    <xf numFmtId="0" fontId="2" fillId="0" borderId="9" xfId="0" applyFont="1" applyFill="1" applyBorder="1" applyProtection="1"/>
    <xf numFmtId="0" fontId="2" fillId="0" borderId="0" xfId="0" applyFont="1" applyFill="1" applyBorder="1" applyAlignment="1" applyProtection="1">
      <alignment horizontal="right" wrapText="1"/>
    </xf>
    <xf numFmtId="0" fontId="2" fillId="0" borderId="0" xfId="0" applyFont="1" applyFill="1" applyBorder="1" applyAlignment="1" applyProtection="1">
      <alignment horizontal="right"/>
    </xf>
    <xf numFmtId="0" fontId="2" fillId="0" borderId="9" xfId="0" applyFont="1" applyFill="1" applyBorder="1" applyAlignment="1" applyProtection="1">
      <alignment horizontal="right"/>
    </xf>
    <xf numFmtId="0" fontId="2" fillId="0" borderId="8" xfId="0" applyFont="1" applyFill="1" applyBorder="1" applyAlignment="1" applyProtection="1">
      <alignment wrapText="1"/>
    </xf>
    <xf numFmtId="0" fontId="5" fillId="0" borderId="0" xfId="0" applyFont="1" applyFill="1" applyBorder="1" applyAlignment="1" applyProtection="1">
      <alignment horizontal="right" wrapText="1"/>
    </xf>
    <xf numFmtId="0" fontId="5" fillId="0" borderId="0" xfId="0" applyFont="1" applyFill="1" applyBorder="1" applyAlignment="1" applyProtection="1">
      <alignment horizontal="right"/>
    </xf>
    <xf numFmtId="0" fontId="5" fillId="0" borderId="0" xfId="0" applyFont="1" applyFill="1" applyBorder="1" applyAlignment="1" applyProtection="1">
      <alignment horizontal="center"/>
    </xf>
    <xf numFmtId="0" fontId="5" fillId="0" borderId="9" xfId="0" applyFont="1" applyFill="1" applyBorder="1" applyAlignment="1" applyProtection="1">
      <alignment horizontal="right"/>
    </xf>
    <xf numFmtId="164" fontId="2" fillId="0" borderId="0" xfId="1" applyNumberFormat="1" applyFont="1" applyFill="1" applyBorder="1" applyProtection="1"/>
    <xf numFmtId="164" fontId="2" fillId="0" borderId="9" xfId="0" applyNumberFormat="1" applyFont="1" applyFill="1" applyBorder="1" applyProtection="1"/>
    <xf numFmtId="164" fontId="2" fillId="0" borderId="1" xfId="1" applyNumberFormat="1" applyFont="1" applyFill="1" applyBorder="1" applyProtection="1"/>
    <xf numFmtId="164" fontId="2" fillId="0" borderId="10" xfId="0" applyNumberFormat="1" applyFont="1" applyFill="1" applyBorder="1" applyProtection="1"/>
    <xf numFmtId="164" fontId="2" fillId="0" borderId="0" xfId="0" applyNumberFormat="1" applyFont="1" applyFill="1" applyBorder="1" applyProtection="1"/>
    <xf numFmtId="0" fontId="2" fillId="0" borderId="11" xfId="0" applyFont="1" applyBorder="1" applyProtection="1"/>
    <xf numFmtId="0" fontId="2" fillId="0" borderId="1" xfId="0" applyFont="1" applyBorder="1" applyProtection="1"/>
    <xf numFmtId="0" fontId="2" fillId="0" borderId="1" xfId="0" applyFont="1" applyBorder="1" applyAlignment="1" applyProtection="1">
      <alignment horizontal="center"/>
    </xf>
    <xf numFmtId="0" fontId="2" fillId="0" borderId="10" xfId="0" applyFont="1" applyBorder="1" applyProtection="1"/>
    <xf numFmtId="0" fontId="4" fillId="0" borderId="6" xfId="0" applyFont="1" applyBorder="1" applyProtection="1"/>
    <xf numFmtId="0" fontId="6" fillId="0" borderId="7" xfId="0" applyFont="1" applyBorder="1" applyProtection="1"/>
    <xf numFmtId="0" fontId="2" fillId="0" borderId="7" xfId="0" applyFont="1" applyBorder="1" applyProtection="1"/>
    <xf numFmtId="0" fontId="2" fillId="0" borderId="4" xfId="0" applyFont="1" applyBorder="1" applyAlignment="1" applyProtection="1">
      <alignment horizontal="center"/>
    </xf>
    <xf numFmtId="164" fontId="2" fillId="0" borderId="8" xfId="1" applyNumberFormat="1" applyFont="1" applyBorder="1" applyProtection="1"/>
    <xf numFmtId="0" fontId="2" fillId="0" borderId="0" xfId="0" applyFont="1" applyBorder="1" applyProtection="1"/>
    <xf numFmtId="0" fontId="2" fillId="0" borderId="9" xfId="0" applyFont="1" applyBorder="1" applyAlignment="1" applyProtection="1">
      <alignment horizontal="center"/>
    </xf>
    <xf numFmtId="0" fontId="2" fillId="0" borderId="8" xfId="0" applyFont="1" applyBorder="1" applyProtection="1"/>
    <xf numFmtId="0" fontId="2" fillId="0" borderId="8" xfId="0" applyFont="1" applyBorder="1" applyAlignment="1" applyProtection="1">
      <alignment wrapText="1"/>
    </xf>
    <xf numFmtId="0" fontId="2" fillId="0" borderId="0" xfId="0" applyFont="1" applyBorder="1" applyAlignment="1" applyProtection="1">
      <alignment horizontal="center"/>
    </xf>
    <xf numFmtId="0" fontId="2" fillId="0" borderId="0" xfId="0" applyFont="1" applyBorder="1" applyAlignment="1" applyProtection="1">
      <alignment horizontal="right"/>
    </xf>
    <xf numFmtId="0" fontId="2" fillId="0" borderId="9" xfId="0" applyFont="1" applyBorder="1" applyAlignment="1" applyProtection="1">
      <alignment horizontal="right"/>
    </xf>
    <xf numFmtId="0" fontId="5" fillId="0" borderId="0" xfId="0" applyFont="1" applyBorder="1" applyAlignment="1" applyProtection="1">
      <alignment horizontal="center"/>
    </xf>
    <xf numFmtId="0" fontId="5" fillId="0" borderId="0" xfId="0" applyFont="1" applyBorder="1" applyAlignment="1" applyProtection="1">
      <alignment horizontal="right"/>
    </xf>
    <xf numFmtId="0" fontId="5" fillId="0" borderId="9" xfId="0" applyFont="1" applyBorder="1" applyAlignment="1" applyProtection="1">
      <alignment horizontal="right"/>
    </xf>
    <xf numFmtId="164" fontId="2" fillId="0" borderId="0" xfId="1" applyNumberFormat="1" applyFont="1" applyBorder="1" applyProtection="1"/>
    <xf numFmtId="164" fontId="2" fillId="0" borderId="9" xfId="0" applyNumberFormat="1" applyFont="1" applyBorder="1" applyProtection="1"/>
    <xf numFmtId="164" fontId="2" fillId="0" borderId="1" xfId="1" applyNumberFormat="1" applyFont="1" applyBorder="1" applyProtection="1"/>
    <xf numFmtId="164" fontId="2" fillId="0" borderId="10" xfId="0" applyNumberFormat="1" applyFont="1" applyBorder="1" applyProtection="1"/>
    <xf numFmtId="164" fontId="2" fillId="0" borderId="0" xfId="0" applyNumberFormat="1" applyFont="1" applyBorder="1" applyProtection="1"/>
    <xf numFmtId="0" fontId="2" fillId="0" borderId="10" xfId="0" applyFont="1" applyBorder="1" applyAlignment="1" applyProtection="1">
      <alignment horizontal="center"/>
    </xf>
    <xf numFmtId="164" fontId="2" fillId="0" borderId="8" xfId="0" applyNumberFormat="1" applyFont="1" applyBorder="1" applyProtection="1"/>
    <xf numFmtId="43" fontId="2" fillId="0" borderId="1" xfId="0" applyNumberFormat="1" applyFont="1" applyBorder="1" applyProtection="1"/>
    <xf numFmtId="0" fontId="2" fillId="0" borderId="4" xfId="0" applyFont="1" applyBorder="1" applyProtection="1"/>
    <xf numFmtId="0" fontId="2" fillId="0" borderId="2" xfId="0" applyFont="1" applyBorder="1" applyProtection="1"/>
    <xf numFmtId="0" fontId="2" fillId="2" borderId="0" xfId="0" applyFont="1" applyFill="1" applyProtection="1">
      <protection locked="0"/>
    </xf>
    <xf numFmtId="165" fontId="2" fillId="2" borderId="0" xfId="0" applyNumberFormat="1" applyFont="1" applyFill="1" applyAlignment="1" applyProtection="1">
      <protection locked="0"/>
    </xf>
    <xf numFmtId="164" fontId="2" fillId="2" borderId="0" xfId="1" applyNumberFormat="1" applyFont="1" applyFill="1" applyProtection="1">
      <protection locked="0"/>
    </xf>
    <xf numFmtId="166" fontId="2" fillId="2" borderId="0" xfId="1" applyNumberFormat="1" applyFont="1" applyFill="1" applyProtection="1">
      <protection locked="0"/>
    </xf>
    <xf numFmtId="0" fontId="2" fillId="2" borderId="8" xfId="0" applyFont="1" applyFill="1" applyBorder="1" applyProtection="1">
      <protection locked="0"/>
    </xf>
    <xf numFmtId="164" fontId="2" fillId="2" borderId="0" xfId="1" applyNumberFormat="1" applyFont="1" applyFill="1" applyBorder="1" applyProtection="1">
      <protection locked="0"/>
    </xf>
    <xf numFmtId="164" fontId="2" fillId="2" borderId="1" xfId="1" applyNumberFormat="1" applyFont="1" applyFill="1" applyBorder="1" applyProtection="1">
      <protection locked="0"/>
    </xf>
    <xf numFmtId="10" fontId="2" fillId="2" borderId="4" xfId="2" applyNumberFormat="1" applyFont="1" applyFill="1" applyBorder="1" applyAlignment="1" applyProtection="1">
      <alignment horizontal="left"/>
      <protection locked="0"/>
    </xf>
    <xf numFmtId="0" fontId="2" fillId="2" borderId="0" xfId="0" applyNumberFormat="1" applyFont="1" applyFill="1" applyProtection="1">
      <protection locked="0"/>
    </xf>
    <xf numFmtId="0" fontId="1" fillId="0" borderId="0" xfId="0" applyFont="1"/>
    <xf numFmtId="0" fontId="1" fillId="0" borderId="0" xfId="0" applyFont="1" applyFill="1" applyAlignment="1"/>
    <xf numFmtId="0" fontId="9" fillId="0" borderId="0" xfId="0" applyFont="1"/>
    <xf numFmtId="0" fontId="5" fillId="0" borderId="0" xfId="0" applyFont="1" applyProtection="1"/>
    <xf numFmtId="0" fontId="10" fillId="0" borderId="0" xfId="0" applyFont="1" applyAlignment="1">
      <alignment horizontal="center" vertical="top" wrapText="1"/>
    </xf>
    <xf numFmtId="0" fontId="1" fillId="0" borderId="0" xfId="0" applyFont="1" applyFill="1" applyAlignment="1">
      <alignment horizontal="left"/>
    </xf>
    <xf numFmtId="0" fontId="0" fillId="0" borderId="0" xfId="0" applyFill="1"/>
    <xf numFmtId="0" fontId="4" fillId="0" borderId="0" xfId="0" applyFont="1" applyProtection="1"/>
    <xf numFmtId="0" fontId="1" fillId="0" borderId="0" xfId="0" applyNumberFormat="1" applyFont="1" applyFill="1" applyAlignment="1">
      <alignment horizontal="left"/>
    </xf>
    <xf numFmtId="0" fontId="1" fillId="0" borderId="0" xfId="0" applyNumberFormat="1" applyFont="1" applyFill="1" applyAlignment="1"/>
    <xf numFmtId="0" fontId="0" fillId="0" borderId="0" xfId="0" applyNumberFormat="1" applyFill="1"/>
    <xf numFmtId="9" fontId="2" fillId="2" borderId="0" xfId="2" applyFont="1" applyFill="1" applyProtection="1"/>
    <xf numFmtId="10" fontId="2" fillId="2" borderId="0" xfId="0" applyNumberFormat="1" applyFont="1" applyFill="1" applyProtection="1">
      <protection locked="0"/>
    </xf>
    <xf numFmtId="10" fontId="2" fillId="2" borderId="0" xfId="0" applyNumberFormat="1" applyFont="1" applyFill="1" applyBorder="1" applyProtection="1">
      <protection locked="0"/>
    </xf>
    <xf numFmtId="10" fontId="2" fillId="2" borderId="1" xfId="0" applyNumberFormat="1" applyFont="1" applyFill="1" applyBorder="1" applyProtection="1">
      <protection locked="0"/>
    </xf>
    <xf numFmtId="10" fontId="2" fillId="0" borderId="0" xfId="0" applyNumberFormat="1" applyFont="1" applyFill="1" applyBorder="1" applyProtection="1"/>
    <xf numFmtId="10" fontId="2" fillId="0" borderId="0" xfId="0" applyNumberFormat="1" applyFont="1" applyBorder="1" applyProtection="1"/>
    <xf numFmtId="10" fontId="2" fillId="0" borderId="1" xfId="0" applyNumberFormat="1" applyFont="1" applyBorder="1" applyProtection="1"/>
    <xf numFmtId="0" fontId="2" fillId="0" borderId="0" xfId="0" applyFont="1" applyProtection="1">
      <protection locked="0"/>
    </xf>
    <xf numFmtId="43" fontId="2" fillId="0" borderId="0" xfId="0" applyNumberFormat="1" applyFont="1" applyProtection="1">
      <protection locked="0"/>
    </xf>
    <xf numFmtId="164" fontId="2" fillId="0" borderId="0" xfId="0" applyNumberFormat="1" applyFont="1" applyProtection="1">
      <protection locked="0"/>
    </xf>
    <xf numFmtId="0" fontId="2" fillId="0" borderId="8" xfId="0" applyFont="1" applyFill="1" applyBorder="1" applyProtection="1">
      <protection locked="0"/>
    </xf>
    <xf numFmtId="0" fontId="9" fillId="0" borderId="0" xfId="0" applyFont="1" applyAlignment="1">
      <alignment horizontal="center"/>
    </xf>
    <xf numFmtId="0" fontId="1" fillId="2" borderId="0" xfId="0" applyFont="1" applyFill="1" applyAlignment="1">
      <alignment horizontal="left"/>
    </xf>
    <xf numFmtId="0" fontId="1" fillId="0" borderId="0" xfId="0" applyFont="1" applyAlignment="1">
      <alignment horizontal="left" wrapText="1"/>
    </xf>
    <xf numFmtId="0" fontId="1" fillId="0" borderId="0" xfId="0" applyFont="1" applyAlignment="1">
      <alignment horizontal="left"/>
    </xf>
    <xf numFmtId="0" fontId="2" fillId="0" borderId="2" xfId="0" applyFont="1" applyBorder="1" applyAlignment="1" applyProtection="1">
      <alignment horizontal="left"/>
    </xf>
    <xf numFmtId="0" fontId="2" fillId="0" borderId="5" xfId="0" applyFont="1" applyBorder="1" applyAlignment="1" applyProtection="1">
      <alignment horizontal="left"/>
    </xf>
    <xf numFmtId="0" fontId="2" fillId="2" borderId="0" xfId="0" applyFont="1" applyFill="1" applyAlignment="1" applyProtection="1">
      <alignment horizontal="right"/>
      <protection locked="0"/>
    </xf>
    <xf numFmtId="0" fontId="0" fillId="0" borderId="0" xfId="0" applyFill="1" applyAlignment="1">
      <alignment horizontal="left" vertical="top" wrapText="1"/>
    </xf>
    <xf numFmtId="0" fontId="1" fillId="0" borderId="0" xfId="0" applyFont="1" applyAlignment="1">
      <alignment wrapText="1"/>
    </xf>
    <xf numFmtId="0" fontId="12" fillId="0" borderId="0" xfId="0" applyFo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2</xdr:row>
      <xdr:rowOff>95250</xdr:rowOff>
    </xdr:from>
    <xdr:to>
      <xdr:col>10</xdr:col>
      <xdr:colOff>246964</xdr:colOff>
      <xdr:row>35</xdr:row>
      <xdr:rowOff>46714</xdr:rowOff>
    </xdr:to>
    <xdr:pic>
      <xdr:nvPicPr>
        <xdr:cNvPr id="2" name="Picture 1">
          <a:extLst>
            <a:ext uri="{FF2B5EF4-FFF2-40B4-BE49-F238E27FC236}">
              <a16:creationId xmlns:a16="http://schemas.microsoft.com/office/drawing/2014/main" id="{2E580429-2DCB-4844-88E0-67AE6182B5D2}"/>
            </a:ext>
          </a:extLst>
        </xdr:cNvPr>
        <xdr:cNvPicPr>
          <a:picLocks noChangeAspect="1"/>
        </xdr:cNvPicPr>
      </xdr:nvPicPr>
      <xdr:blipFill>
        <a:blip xmlns:r="http://schemas.openxmlformats.org/officeDocument/2006/relationships" r:embed="rId1"/>
        <a:stretch>
          <a:fillRect/>
        </a:stretch>
      </xdr:blipFill>
      <xdr:spPr>
        <a:xfrm>
          <a:off x="8477250" y="419100"/>
          <a:ext cx="5485714" cy="7285714"/>
        </a:xfrm>
        <a:prstGeom prst="rect">
          <a:avLst/>
        </a:prstGeom>
      </xdr:spPr>
    </xdr:pic>
    <xdr:clientData/>
  </xdr:twoCellAnchor>
  <xdr:twoCellAnchor editAs="oneCell">
    <xdr:from>
      <xdr:col>11</xdr:col>
      <xdr:colOff>0</xdr:colOff>
      <xdr:row>2</xdr:row>
      <xdr:rowOff>180975</xdr:rowOff>
    </xdr:from>
    <xdr:to>
      <xdr:col>20</xdr:col>
      <xdr:colOff>418362</xdr:colOff>
      <xdr:row>24</xdr:row>
      <xdr:rowOff>113614</xdr:rowOff>
    </xdr:to>
    <xdr:pic>
      <xdr:nvPicPr>
        <xdr:cNvPr id="4" name="Picture 3">
          <a:extLst>
            <a:ext uri="{FF2B5EF4-FFF2-40B4-BE49-F238E27FC236}">
              <a16:creationId xmlns:a16="http://schemas.microsoft.com/office/drawing/2014/main" id="{56716CBF-7590-4A8D-9546-D0591AB111A2}"/>
            </a:ext>
          </a:extLst>
        </xdr:cNvPr>
        <xdr:cNvPicPr>
          <a:picLocks noChangeAspect="1"/>
        </xdr:cNvPicPr>
      </xdr:nvPicPr>
      <xdr:blipFill>
        <a:blip xmlns:r="http://schemas.openxmlformats.org/officeDocument/2006/relationships" r:embed="rId2"/>
        <a:stretch>
          <a:fillRect/>
        </a:stretch>
      </xdr:blipFill>
      <xdr:spPr>
        <a:xfrm>
          <a:off x="14325600" y="504825"/>
          <a:ext cx="5904762" cy="548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82679-C2DD-4681-A498-C2569D99FEA2}">
  <dimension ref="A1:L20"/>
  <sheetViews>
    <sheetView tabSelected="1" workbookViewId="0">
      <selection activeCell="A9" sqref="A9"/>
    </sheetView>
  </sheetViews>
  <sheetFormatPr defaultRowHeight="12.75" x14ac:dyDescent="0.2"/>
  <cols>
    <col min="1" max="1" width="123.42578125" style="2" bestFit="1" customWidth="1"/>
  </cols>
  <sheetData>
    <row r="1" spans="1:12" x14ac:dyDescent="0.2">
      <c r="A1" s="84" t="s">
        <v>43</v>
      </c>
      <c r="C1" s="111" t="s">
        <v>120</v>
      </c>
      <c r="L1" s="111" t="s">
        <v>121</v>
      </c>
    </row>
    <row r="2" spans="1:12" x14ac:dyDescent="0.2">
      <c r="A2" s="84"/>
    </row>
    <row r="3" spans="1:12" ht="25.5" x14ac:dyDescent="0.2">
      <c r="A3" s="110" t="s">
        <v>119</v>
      </c>
    </row>
    <row r="4" spans="1:12" s="86" customFormat="1" x14ac:dyDescent="0.2">
      <c r="A4" s="109"/>
    </row>
    <row r="5" spans="1:12" ht="25.5" x14ac:dyDescent="0.2">
      <c r="A5" s="5" t="s">
        <v>84</v>
      </c>
      <c r="B5" s="1"/>
      <c r="C5" s="1"/>
      <c r="D5" s="1"/>
      <c r="E5" s="1"/>
      <c r="F5" s="1"/>
      <c r="G5" s="1"/>
      <c r="H5" s="1"/>
      <c r="I5" s="1"/>
    </row>
    <row r="6" spans="1:12" ht="40.9" customHeight="1" x14ac:dyDescent="0.2">
      <c r="A6" s="5" t="s">
        <v>95</v>
      </c>
      <c r="B6" s="1"/>
      <c r="C6" s="1"/>
      <c r="D6" s="1"/>
      <c r="E6" s="1"/>
      <c r="F6" s="1"/>
      <c r="G6" s="1"/>
      <c r="H6" s="1"/>
      <c r="I6" s="1"/>
    </row>
    <row r="7" spans="1:12" ht="25.5" x14ac:dyDescent="0.2">
      <c r="A7" s="5" t="s">
        <v>47</v>
      </c>
      <c r="B7" s="1"/>
      <c r="C7" s="1"/>
      <c r="D7" s="1"/>
      <c r="E7" s="1"/>
      <c r="F7" s="1"/>
      <c r="G7" s="1"/>
      <c r="H7" s="1"/>
      <c r="I7" s="1"/>
    </row>
    <row r="8" spans="1:12" x14ac:dyDescent="0.2">
      <c r="A8" s="3"/>
      <c r="B8" s="1"/>
      <c r="C8" s="1"/>
      <c r="D8" s="1"/>
      <c r="E8" s="1"/>
    </row>
    <row r="9" spans="1:12" x14ac:dyDescent="0.2">
      <c r="A9" s="3"/>
    </row>
    <row r="10" spans="1:12" x14ac:dyDescent="0.2">
      <c r="A10" s="4" t="s">
        <v>16</v>
      </c>
    </row>
    <row r="11" spans="1:12" ht="25.5" x14ac:dyDescent="0.2">
      <c r="A11" s="5" t="s">
        <v>48</v>
      </c>
    </row>
    <row r="12" spans="1:12" ht="27" customHeight="1" x14ac:dyDescent="0.2">
      <c r="A12" s="5" t="s">
        <v>85</v>
      </c>
    </row>
    <row r="13" spans="1:12" ht="25.5" x14ac:dyDescent="0.2">
      <c r="A13" s="5" t="s">
        <v>88</v>
      </c>
      <c r="B13" s="1"/>
      <c r="C13" s="1"/>
      <c r="D13" s="1"/>
      <c r="E13" s="1"/>
      <c r="F13" s="1"/>
      <c r="G13" s="1"/>
      <c r="H13" s="1"/>
      <c r="I13" s="1"/>
    </row>
    <row r="14" spans="1:12" x14ac:dyDescent="0.2">
      <c r="A14" s="5"/>
      <c r="B14" s="1"/>
      <c r="C14" s="1"/>
      <c r="D14" s="1"/>
      <c r="E14" s="1"/>
      <c r="F14" s="1"/>
      <c r="G14" s="1"/>
      <c r="H14" s="1"/>
      <c r="I14" s="1"/>
    </row>
    <row r="15" spans="1:12" x14ac:dyDescent="0.2">
      <c r="A15" s="4" t="s">
        <v>17</v>
      </c>
    </row>
    <row r="16" spans="1:12" ht="38.25" customHeight="1" x14ac:dyDescent="0.2">
      <c r="A16" s="5" t="s">
        <v>89</v>
      </c>
      <c r="B16" s="1"/>
      <c r="C16" s="1"/>
      <c r="D16" s="1"/>
      <c r="E16" s="1"/>
      <c r="F16" s="1"/>
      <c r="G16" s="1"/>
      <c r="H16" s="1"/>
      <c r="I16" s="1"/>
    </row>
    <row r="17" spans="1:9" ht="25.5" x14ac:dyDescent="0.2">
      <c r="A17" s="3" t="s">
        <v>92</v>
      </c>
      <c r="B17" s="1"/>
      <c r="C17" s="1"/>
      <c r="D17" s="1"/>
      <c r="E17" s="1"/>
      <c r="F17" s="1"/>
      <c r="G17" s="1"/>
      <c r="H17" s="1"/>
      <c r="I17" s="1"/>
    </row>
    <row r="18" spans="1:9" x14ac:dyDescent="0.2">
      <c r="A18" s="3"/>
    </row>
    <row r="19" spans="1:9" x14ac:dyDescent="0.2">
      <c r="A19" s="4" t="s">
        <v>18</v>
      </c>
    </row>
    <row r="20" spans="1:9" ht="25.5" customHeight="1" x14ac:dyDescent="0.2">
      <c r="A20" s="5" t="s">
        <v>87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workbookViewId="0">
      <selection activeCell="B46" sqref="B46"/>
    </sheetView>
  </sheetViews>
  <sheetFormatPr defaultRowHeight="12.75" x14ac:dyDescent="0.2"/>
  <cols>
    <col min="1" max="1" width="7.140625" customWidth="1"/>
    <col min="2" max="2" width="54.28515625" bestFit="1" customWidth="1"/>
    <col min="3" max="3" width="31.5703125" bestFit="1" customWidth="1"/>
  </cols>
  <sheetData>
    <row r="1" spans="1:6" x14ac:dyDescent="0.2">
      <c r="A1" s="102" t="s">
        <v>94</v>
      </c>
      <c r="B1" s="102"/>
      <c r="C1" s="102"/>
    </row>
    <row r="3" spans="1:6" x14ac:dyDescent="0.2">
      <c r="A3" s="103" t="s">
        <v>50</v>
      </c>
      <c r="B3" s="103"/>
      <c r="C3" s="81"/>
      <c r="D3" s="81"/>
      <c r="E3" s="81"/>
      <c r="F3" s="81"/>
    </row>
    <row r="4" spans="1:6" s="86" customFormat="1" x14ac:dyDescent="0.2">
      <c r="A4" s="85" t="s">
        <v>90</v>
      </c>
      <c r="B4" s="85"/>
      <c r="C4" s="81"/>
      <c r="D4" s="81"/>
      <c r="E4" s="81"/>
      <c r="F4" s="81"/>
    </row>
    <row r="5" spans="1:6" s="90" customFormat="1" x14ac:dyDescent="0.2">
      <c r="A5" s="88"/>
      <c r="B5" s="88"/>
      <c r="C5" s="89"/>
      <c r="D5" s="89"/>
      <c r="E5" s="89"/>
      <c r="F5" s="89"/>
    </row>
    <row r="6" spans="1:6" x14ac:dyDescent="0.2">
      <c r="A6" s="82" t="s">
        <v>51</v>
      </c>
      <c r="B6" s="82" t="s">
        <v>98</v>
      </c>
      <c r="C6" s="82" t="s">
        <v>96</v>
      </c>
    </row>
    <row r="7" spans="1:6" x14ac:dyDescent="0.2">
      <c r="A7" s="80" t="s">
        <v>52</v>
      </c>
      <c r="B7" s="80" t="s">
        <v>53</v>
      </c>
      <c r="C7" s="80" t="s">
        <v>74</v>
      </c>
    </row>
    <row r="8" spans="1:6" x14ac:dyDescent="0.2">
      <c r="A8" s="80" t="s">
        <v>54</v>
      </c>
      <c r="B8" s="80" t="s">
        <v>86</v>
      </c>
      <c r="C8" s="80" t="s">
        <v>74</v>
      </c>
    </row>
    <row r="9" spans="1:6" x14ac:dyDescent="0.2">
      <c r="A9" s="80" t="s">
        <v>105</v>
      </c>
      <c r="B9" s="80" t="s">
        <v>55</v>
      </c>
      <c r="C9" s="80" t="s">
        <v>74</v>
      </c>
    </row>
    <row r="10" spans="1:6" x14ac:dyDescent="0.2">
      <c r="A10" s="80" t="s">
        <v>106</v>
      </c>
      <c r="B10" s="80" t="s">
        <v>56</v>
      </c>
      <c r="C10" s="80" t="s">
        <v>75</v>
      </c>
    </row>
    <row r="11" spans="1:6" x14ac:dyDescent="0.2">
      <c r="A11" s="80" t="s">
        <v>107</v>
      </c>
      <c r="B11" s="80" t="s">
        <v>57</v>
      </c>
      <c r="C11" s="80" t="s">
        <v>75</v>
      </c>
    </row>
    <row r="12" spans="1:6" x14ac:dyDescent="0.2">
      <c r="A12" s="80" t="s">
        <v>108</v>
      </c>
      <c r="B12" s="80" t="s">
        <v>58</v>
      </c>
      <c r="C12" s="80" t="s">
        <v>74</v>
      </c>
    </row>
    <row r="13" spans="1:6" x14ac:dyDescent="0.2">
      <c r="A13" s="80" t="s">
        <v>109</v>
      </c>
      <c r="B13" s="80" t="s">
        <v>59</v>
      </c>
      <c r="C13" s="80" t="s">
        <v>74</v>
      </c>
    </row>
    <row r="14" spans="1:6" x14ac:dyDescent="0.2">
      <c r="A14" s="80" t="s">
        <v>68</v>
      </c>
      <c r="B14" s="80" t="s">
        <v>60</v>
      </c>
      <c r="C14" s="80" t="s">
        <v>75</v>
      </c>
    </row>
    <row r="15" spans="1:6" x14ac:dyDescent="0.2">
      <c r="A15" s="80" t="s">
        <v>69</v>
      </c>
      <c r="B15" s="80" t="s">
        <v>111</v>
      </c>
      <c r="C15" s="80" t="s">
        <v>75</v>
      </c>
    </row>
    <row r="16" spans="1:6" x14ac:dyDescent="0.2">
      <c r="A16" s="80" t="s">
        <v>110</v>
      </c>
      <c r="B16" s="80" t="s">
        <v>112</v>
      </c>
      <c r="C16" s="80" t="s">
        <v>113</v>
      </c>
    </row>
    <row r="17" spans="1:3" x14ac:dyDescent="0.2">
      <c r="A17" s="80" t="s">
        <v>70</v>
      </c>
      <c r="B17" s="80" t="s">
        <v>61</v>
      </c>
      <c r="C17" s="80" t="s">
        <v>114</v>
      </c>
    </row>
    <row r="18" spans="1:3" x14ac:dyDescent="0.2">
      <c r="A18" s="80" t="s">
        <v>71</v>
      </c>
      <c r="B18" s="80" t="s">
        <v>62</v>
      </c>
      <c r="C18" s="80" t="s">
        <v>75</v>
      </c>
    </row>
    <row r="19" spans="1:3" x14ac:dyDescent="0.2">
      <c r="A19" s="80" t="s">
        <v>72</v>
      </c>
      <c r="B19" s="80" t="s">
        <v>63</v>
      </c>
      <c r="C19" s="80" t="s">
        <v>74</v>
      </c>
    </row>
    <row r="20" spans="1:3" x14ac:dyDescent="0.2">
      <c r="A20" s="80" t="s">
        <v>73</v>
      </c>
      <c r="B20" s="80" t="s">
        <v>64</v>
      </c>
      <c r="C20" s="80" t="s">
        <v>74</v>
      </c>
    </row>
    <row r="21" spans="1:3" x14ac:dyDescent="0.2">
      <c r="A21" s="80" t="s">
        <v>78</v>
      </c>
      <c r="B21" s="80" t="s">
        <v>65</v>
      </c>
      <c r="C21" s="80" t="s">
        <v>76</v>
      </c>
    </row>
    <row r="22" spans="1:3" x14ac:dyDescent="0.2">
      <c r="A22" s="80" t="s">
        <v>79</v>
      </c>
      <c r="B22" s="80" t="s">
        <v>66</v>
      </c>
      <c r="C22" s="80" t="s">
        <v>76</v>
      </c>
    </row>
    <row r="23" spans="1:3" x14ac:dyDescent="0.2">
      <c r="A23" s="80" t="s">
        <v>80</v>
      </c>
      <c r="B23" s="80" t="s">
        <v>67</v>
      </c>
      <c r="C23" s="80" t="s">
        <v>76</v>
      </c>
    </row>
    <row r="24" spans="1:3" x14ac:dyDescent="0.2">
      <c r="A24" s="105" t="s">
        <v>82</v>
      </c>
      <c r="B24" s="105"/>
      <c r="C24" s="105"/>
    </row>
    <row r="26" spans="1:3" ht="27" customHeight="1" x14ac:dyDescent="0.2">
      <c r="A26" s="104" t="s">
        <v>81</v>
      </c>
      <c r="B26" s="104"/>
      <c r="C26" s="104"/>
    </row>
    <row r="27" spans="1:3" ht="27" customHeight="1" x14ac:dyDescent="0.2">
      <c r="A27" s="104" t="s">
        <v>91</v>
      </c>
      <c r="B27" s="104"/>
      <c r="C27" s="104"/>
    </row>
    <row r="28" spans="1:3" x14ac:dyDescent="0.2">
      <c r="A28" s="80" t="s">
        <v>83</v>
      </c>
    </row>
    <row r="29" spans="1:3" x14ac:dyDescent="0.2">
      <c r="A29" s="104" t="s">
        <v>77</v>
      </c>
      <c r="B29" s="104"/>
      <c r="C29" s="104"/>
    </row>
  </sheetData>
  <sheetProtection password="CC1A" sheet="1" objects="1" scenarios="1"/>
  <mergeCells count="6">
    <mergeCell ref="A1:C1"/>
    <mergeCell ref="A3:B3"/>
    <mergeCell ref="A27:C27"/>
    <mergeCell ref="A29:C29"/>
    <mergeCell ref="A26:C26"/>
    <mergeCell ref="A24:C24"/>
  </mergeCells>
  <pageMargins left="0.7" right="0.7" top="0.75" bottom="0.75" header="0.3" footer="0.3"/>
  <pageSetup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9"/>
  <sheetViews>
    <sheetView zoomScale="115" workbookViewId="0">
      <selection activeCell="K64" sqref="K64"/>
    </sheetView>
  </sheetViews>
  <sheetFormatPr defaultColWidth="9.140625" defaultRowHeight="11.25" x14ac:dyDescent="0.2"/>
  <cols>
    <col min="1" max="1" width="6.7109375" style="6" customWidth="1"/>
    <col min="2" max="2" width="7.85546875" style="6" customWidth="1"/>
    <col min="3" max="3" width="7.7109375" style="6" bestFit="1" customWidth="1"/>
    <col min="4" max="4" width="7" style="6" bestFit="1" customWidth="1"/>
    <col min="5" max="5" width="7.7109375" style="6" bestFit="1" customWidth="1"/>
    <col min="6" max="6" width="7.42578125" style="6" customWidth="1"/>
    <col min="7" max="7" width="9.140625" style="6" bestFit="1"/>
    <col min="8" max="8" width="9.140625" style="6" customWidth="1"/>
    <col min="9" max="9" width="7.85546875" style="6" customWidth="1"/>
    <col min="10" max="10" width="7.7109375" style="6" bestFit="1" customWidth="1"/>
    <col min="11" max="11" width="9.42578125" style="6" bestFit="1" customWidth="1"/>
    <col min="12" max="12" width="9.140625" style="6"/>
    <col min="13" max="13" width="11" style="71" customWidth="1"/>
    <col min="14" max="14" width="9.140625" style="71"/>
    <col min="15" max="15" width="9.85546875" style="98" bestFit="1" customWidth="1"/>
    <col min="16" max="20" width="9.140625" style="98"/>
    <col min="21" max="16384" width="9.140625" style="6"/>
  </cols>
  <sheetData>
    <row r="1" spans="1:9" x14ac:dyDescent="0.2">
      <c r="A1" s="83" t="s">
        <v>0</v>
      </c>
    </row>
    <row r="2" spans="1:9" x14ac:dyDescent="0.2">
      <c r="A2" s="6" t="s">
        <v>1</v>
      </c>
      <c r="F2" s="7"/>
      <c r="G2" s="108" t="s">
        <v>49</v>
      </c>
      <c r="H2" s="108"/>
    </row>
    <row r="3" spans="1:9" x14ac:dyDescent="0.2">
      <c r="A3" s="6" t="s">
        <v>38</v>
      </c>
      <c r="F3" s="108" t="s">
        <v>44</v>
      </c>
      <c r="G3" s="108"/>
      <c r="H3" s="108"/>
    </row>
    <row r="4" spans="1:9" x14ac:dyDescent="0.2">
      <c r="A4" s="6" t="s">
        <v>2</v>
      </c>
      <c r="G4" s="8"/>
      <c r="H4" s="71" t="s">
        <v>46</v>
      </c>
    </row>
    <row r="5" spans="1:9" x14ac:dyDescent="0.2">
      <c r="A5" s="6" t="s">
        <v>3</v>
      </c>
      <c r="H5" s="72" t="s">
        <v>45</v>
      </c>
    </row>
    <row r="6" spans="1:9" x14ac:dyDescent="0.2">
      <c r="A6" s="6" t="s">
        <v>4</v>
      </c>
      <c r="H6" s="72" t="s">
        <v>45</v>
      </c>
    </row>
    <row r="7" spans="1:9" x14ac:dyDescent="0.2">
      <c r="G7" s="9"/>
    </row>
    <row r="8" spans="1:9" x14ac:dyDescent="0.2">
      <c r="A8" s="6" t="s">
        <v>5</v>
      </c>
      <c r="H8" s="72" t="s">
        <v>45</v>
      </c>
    </row>
    <row r="9" spans="1:9" x14ac:dyDescent="0.2">
      <c r="A9" s="6" t="s">
        <v>6</v>
      </c>
      <c r="H9" s="72" t="s">
        <v>45</v>
      </c>
    </row>
    <row r="11" spans="1:9" x14ac:dyDescent="0.2">
      <c r="A11" s="6" t="s">
        <v>7</v>
      </c>
      <c r="F11" s="7" t="s">
        <v>99</v>
      </c>
      <c r="G11" s="7" t="s">
        <v>100</v>
      </c>
      <c r="H11" s="7" t="s">
        <v>101</v>
      </c>
    </row>
    <row r="12" spans="1:9" x14ac:dyDescent="0.2">
      <c r="A12" s="6" t="s">
        <v>8</v>
      </c>
      <c r="E12" s="73">
        <v>100000</v>
      </c>
      <c r="F12" s="92">
        <v>0.4975</v>
      </c>
      <c r="G12" s="91">
        <v>0.5</v>
      </c>
      <c r="H12" s="10">
        <f>ROUND(F12*E12,0)</f>
        <v>49750</v>
      </c>
      <c r="I12" s="6" t="s">
        <v>102</v>
      </c>
    </row>
    <row r="13" spans="1:9" x14ac:dyDescent="0.2">
      <c r="A13" s="6" t="s">
        <v>26</v>
      </c>
      <c r="F13" s="11">
        <v>0.75</v>
      </c>
      <c r="H13" s="12">
        <f>ROUND(E12*F13*G12,0)</f>
        <v>37500</v>
      </c>
      <c r="I13" s="13" t="s">
        <v>104</v>
      </c>
    </row>
    <row r="15" spans="1:9" x14ac:dyDescent="0.2">
      <c r="A15" s="87" t="s">
        <v>93</v>
      </c>
    </row>
    <row r="16" spans="1:9" x14ac:dyDescent="0.2">
      <c r="A16" s="6" t="s">
        <v>9</v>
      </c>
      <c r="E16" s="74">
        <v>1983</v>
      </c>
      <c r="F16" s="14" t="s">
        <v>41</v>
      </c>
    </row>
    <row r="17" spans="1:13" x14ac:dyDescent="0.2">
      <c r="A17" s="6" t="s">
        <v>10</v>
      </c>
      <c r="E17" s="74">
        <v>1981</v>
      </c>
      <c r="F17" s="15">
        <f>IF(E17&lt;1996,(1996-E17)*2000,0)</f>
        <v>30000</v>
      </c>
      <c r="H17" s="10">
        <f>F17*G12</f>
        <v>15000</v>
      </c>
      <c r="M17" s="79"/>
    </row>
    <row r="18" spans="1:13" x14ac:dyDescent="0.2">
      <c r="A18" s="6" t="s">
        <v>31</v>
      </c>
      <c r="E18" s="16">
        <f>E16</f>
        <v>1983</v>
      </c>
      <c r="F18" s="15">
        <f>IF(E17&lt;1989,IF(E18&gt;1989,(1989-E17)*1500,(E18-E17)*1500),0)</f>
        <v>3000</v>
      </c>
      <c r="H18" s="10">
        <f>F18*G12</f>
        <v>1500</v>
      </c>
    </row>
    <row r="19" spans="1:13" x14ac:dyDescent="0.2">
      <c r="A19" s="17" t="s">
        <v>42</v>
      </c>
      <c r="H19" s="18">
        <f>SUM(H17:H18)</f>
        <v>16500</v>
      </c>
      <c r="I19" s="6" t="s">
        <v>103</v>
      </c>
    </row>
    <row r="21" spans="1:13" x14ac:dyDescent="0.2">
      <c r="A21" s="19" t="s">
        <v>16</v>
      </c>
      <c r="B21" s="20"/>
      <c r="C21" s="21"/>
      <c r="D21" s="21"/>
      <c r="E21" s="21"/>
      <c r="F21" s="21"/>
      <c r="G21" s="21"/>
      <c r="H21" s="21"/>
      <c r="I21" s="21"/>
      <c r="J21" s="21"/>
      <c r="K21" s="22" t="s">
        <v>23</v>
      </c>
    </row>
    <row r="22" spans="1:13" x14ac:dyDescent="0.2">
      <c r="A22" s="23">
        <f>H13-H19</f>
        <v>21000</v>
      </c>
      <c r="B22" s="24" t="s">
        <v>39</v>
      </c>
      <c r="C22" s="24"/>
      <c r="D22" s="24"/>
      <c r="E22" s="24"/>
      <c r="F22" s="24"/>
      <c r="G22" s="24"/>
      <c r="H22" s="24"/>
      <c r="I22" s="24"/>
      <c r="J22" s="24"/>
      <c r="K22" s="25" t="s">
        <v>24</v>
      </c>
    </row>
    <row r="23" spans="1:13" x14ac:dyDescent="0.2">
      <c r="A23" s="23">
        <f>H19</f>
        <v>16500</v>
      </c>
      <c r="B23" s="24" t="s">
        <v>40</v>
      </c>
      <c r="C23" s="24"/>
      <c r="D23" s="24"/>
      <c r="E23" s="24"/>
      <c r="F23" s="24"/>
      <c r="G23" s="24"/>
      <c r="H23" s="24"/>
      <c r="I23" s="24"/>
      <c r="J23" s="24"/>
      <c r="K23" s="25" t="s">
        <v>25</v>
      </c>
    </row>
    <row r="24" spans="1:13" x14ac:dyDescent="0.2">
      <c r="A24" s="26"/>
      <c r="B24" s="24"/>
      <c r="C24" s="24"/>
      <c r="D24" s="24"/>
      <c r="E24" s="24"/>
      <c r="F24" s="24"/>
      <c r="G24" s="27" t="s">
        <v>22</v>
      </c>
      <c r="H24" s="24"/>
      <c r="I24" s="27"/>
      <c r="J24" s="24"/>
      <c r="K24" s="28"/>
    </row>
    <row r="25" spans="1:13" ht="22.5" x14ac:dyDescent="0.2">
      <c r="A25" s="26"/>
      <c r="B25" s="29" t="s">
        <v>36</v>
      </c>
      <c r="C25" s="30" t="s">
        <v>19</v>
      </c>
      <c r="D25" s="30" t="s">
        <v>34</v>
      </c>
      <c r="E25" s="30" t="s">
        <v>35</v>
      </c>
      <c r="F25" s="27" t="s">
        <v>21</v>
      </c>
      <c r="G25" s="27" t="s">
        <v>33</v>
      </c>
      <c r="H25" s="24"/>
      <c r="I25" s="30"/>
      <c r="J25" s="30" t="s">
        <v>28</v>
      </c>
      <c r="K25" s="31" t="s">
        <v>30</v>
      </c>
    </row>
    <row r="26" spans="1:13" x14ac:dyDescent="0.2">
      <c r="A26" s="32"/>
      <c r="B26" s="33" t="s">
        <v>37</v>
      </c>
      <c r="C26" s="34" t="s">
        <v>20</v>
      </c>
      <c r="D26" s="34" t="s">
        <v>32</v>
      </c>
      <c r="E26" s="34" t="s">
        <v>23</v>
      </c>
      <c r="F26" s="35" t="s">
        <v>12</v>
      </c>
      <c r="G26" s="35" t="s">
        <v>23</v>
      </c>
      <c r="H26" s="35" t="s">
        <v>14</v>
      </c>
      <c r="I26" s="34" t="s">
        <v>13</v>
      </c>
      <c r="J26" s="34" t="s">
        <v>29</v>
      </c>
      <c r="K26" s="36" t="s">
        <v>29</v>
      </c>
    </row>
    <row r="27" spans="1:13" x14ac:dyDescent="0.2">
      <c r="A27" s="75" t="s">
        <v>115</v>
      </c>
      <c r="B27" s="93">
        <v>0.8</v>
      </c>
      <c r="C27" s="37">
        <f>H12</f>
        <v>49750</v>
      </c>
      <c r="D27" s="76">
        <f>ROUND(0*10/12,0)</f>
        <v>0</v>
      </c>
      <c r="E27" s="37">
        <f>ROUND(SUM(C27:D27)*(1+$E$59),0)</f>
        <v>61939</v>
      </c>
      <c r="F27" s="37">
        <f>ROUND(((H12*2/12)+(C27*10/12*B27)+(D27*B27))*(1+$E$59),0)</f>
        <v>51616</v>
      </c>
      <c r="G27" s="37"/>
      <c r="H27" s="37">
        <f>SUM(F27:G27)</f>
        <v>51616</v>
      </c>
      <c r="I27" s="37">
        <f>E27-SUM(F27:G27)</f>
        <v>10323</v>
      </c>
      <c r="J27" s="37">
        <f>ROUND(IF($E$27-$H$27&gt;0,IF($E$27-$H$27&gt;$G$30*10/36,$G$30*10/36,$E$27-$H$27),0),0)</f>
        <v>10323</v>
      </c>
      <c r="K27" s="38">
        <f>I27-J27</f>
        <v>0</v>
      </c>
    </row>
    <row r="28" spans="1:13" x14ac:dyDescent="0.2">
      <c r="A28" s="75" t="s">
        <v>116</v>
      </c>
      <c r="B28" s="93">
        <v>0.6</v>
      </c>
      <c r="C28" s="37">
        <f>ROUND(C27+(D27/10*12),0)</f>
        <v>49750</v>
      </c>
      <c r="D28" s="76">
        <f>ROUND(0*10/12,0)</f>
        <v>0</v>
      </c>
      <c r="E28" s="37">
        <f>ROUND(SUM(C28:D28)*(1+$G$59),0)</f>
        <v>61939</v>
      </c>
      <c r="F28" s="37">
        <f>ROUND(((C28*2/12*B27)+(C28*10/12*B28)+(D28*B28))*(1+$G$59),0)</f>
        <v>39228</v>
      </c>
      <c r="G28" s="37"/>
      <c r="H28" s="37">
        <f>SUM(F28:G28)</f>
        <v>39228</v>
      </c>
      <c r="I28" s="37">
        <f>E28-SUM(F28:G28)</f>
        <v>22711</v>
      </c>
      <c r="J28" s="37">
        <f>ROUND(IF($E$28-$H$28&gt;0,IF($E$28-$H$28&gt;($G$30*22/36-J27),$G$30*22/36-J27,$E$28-$H$28),0),0)</f>
        <v>15738</v>
      </c>
      <c r="K28" s="38">
        <f>I28-J28</f>
        <v>6973</v>
      </c>
    </row>
    <row r="29" spans="1:13" x14ac:dyDescent="0.2">
      <c r="A29" s="75" t="s">
        <v>117</v>
      </c>
      <c r="B29" s="93">
        <v>0.6</v>
      </c>
      <c r="C29" s="37">
        <f>ROUND(C28+(D28/10*12),0)</f>
        <v>49750</v>
      </c>
      <c r="D29" s="76">
        <f>ROUND(0*10/12,0)</f>
        <v>0</v>
      </c>
      <c r="E29" s="37">
        <f>ROUND(SUM(C29:D29)*(1+$I$59),0)</f>
        <v>61939</v>
      </c>
      <c r="F29" s="37">
        <f>ROUND(((C29*2/12*B28)+(C29*10/12*B29)+(D29*B29))*(1+$I$59),0)</f>
        <v>37163</v>
      </c>
      <c r="G29" s="37"/>
      <c r="H29" s="37">
        <f>SUM(F29:G29)</f>
        <v>37163</v>
      </c>
      <c r="I29" s="37">
        <f>E29-SUM(F29:G29)</f>
        <v>24776</v>
      </c>
      <c r="J29" s="37">
        <f>ROUND(IF($E$29-$H$29&gt;0,IF($E$29-$H$29&gt;($G$30*34/36-SUM(J27:J28)),$G$30*34/36-SUM(J27:J28),$E$29-$H$29),0),0)</f>
        <v>14215</v>
      </c>
      <c r="K29" s="38">
        <f>I29-J29</f>
        <v>10561</v>
      </c>
    </row>
    <row r="30" spans="1:13" x14ac:dyDescent="0.2">
      <c r="A30" s="75" t="s">
        <v>118</v>
      </c>
      <c r="B30" s="94"/>
      <c r="C30" s="39">
        <f>ROUND((C29+(D29/10*12))*2/12,0)</f>
        <v>8292</v>
      </c>
      <c r="D30" s="77"/>
      <c r="E30" s="39">
        <f>ROUND(SUM(C30:D30)*(1+$K$59),0)</f>
        <v>10324</v>
      </c>
      <c r="F30" s="39">
        <f>ROUND(((C30*B29))*(1+$K$59),0)</f>
        <v>6194</v>
      </c>
      <c r="G30" s="39">
        <f>ROUND((A22*(1+$K$59))+A23,0)</f>
        <v>42645</v>
      </c>
      <c r="H30" s="39">
        <f>SUM(F30:G30)</f>
        <v>48839</v>
      </c>
      <c r="I30" s="39">
        <f>E30-SUM(F30:G30)</f>
        <v>-38515</v>
      </c>
      <c r="J30" s="39">
        <f>ROUND(IF($E$30-$F$30&gt;0,IF($E$30-$F$30&gt;($G$30*36/36-SUM(J27:J29)),$G$30*36/36-SUM(J27:J29),$E$30-$F$30),0),0)</f>
        <v>2369</v>
      </c>
      <c r="K30" s="40">
        <f>E30-F30-J30</f>
        <v>1761</v>
      </c>
    </row>
    <row r="31" spans="1:13" x14ac:dyDescent="0.2">
      <c r="A31" s="26"/>
      <c r="B31" s="95">
        <f>SUM(B27:B29)</f>
        <v>2</v>
      </c>
      <c r="C31" s="41">
        <f>SUM(C27:C30)</f>
        <v>157542</v>
      </c>
      <c r="D31" s="41"/>
      <c r="E31" s="41">
        <f t="shared" ref="E31:K31" si="0">SUM(E27:E30)</f>
        <v>196141</v>
      </c>
      <c r="F31" s="41">
        <f t="shared" si="0"/>
        <v>134201</v>
      </c>
      <c r="G31" s="41">
        <f t="shared" si="0"/>
        <v>42645</v>
      </c>
      <c r="H31" s="41">
        <f t="shared" si="0"/>
        <v>176846</v>
      </c>
      <c r="I31" s="41">
        <f t="shared" si="0"/>
        <v>19295</v>
      </c>
      <c r="J31" s="41">
        <f t="shared" si="0"/>
        <v>42645</v>
      </c>
      <c r="K31" s="38">
        <f t="shared" si="0"/>
        <v>19295</v>
      </c>
    </row>
    <row r="32" spans="1:13" x14ac:dyDescent="0.2">
      <c r="A32" s="42"/>
      <c r="B32" s="43"/>
      <c r="C32" s="43"/>
      <c r="D32" s="43"/>
      <c r="E32" s="43"/>
      <c r="F32" s="43"/>
      <c r="G32" s="43"/>
      <c r="H32" s="43"/>
      <c r="I32" s="44"/>
      <c r="J32" s="43"/>
      <c r="K32" s="45"/>
    </row>
    <row r="33" spans="1:15" x14ac:dyDescent="0.2">
      <c r="A33" s="46" t="s">
        <v>17</v>
      </c>
      <c r="B33" s="47"/>
      <c r="C33" s="48"/>
      <c r="D33" s="48"/>
      <c r="E33" s="48"/>
      <c r="F33" s="48"/>
      <c r="G33" s="48"/>
      <c r="H33" s="48"/>
      <c r="I33" s="48"/>
      <c r="J33" s="48"/>
      <c r="K33" s="49" t="s">
        <v>23</v>
      </c>
    </row>
    <row r="34" spans="1:15" x14ac:dyDescent="0.2">
      <c r="A34" s="50">
        <f>(H13-H19)/3</f>
        <v>7000</v>
      </c>
      <c r="B34" s="51" t="s">
        <v>11</v>
      </c>
      <c r="C34" s="51"/>
      <c r="D34" s="51"/>
      <c r="E34" s="51"/>
      <c r="F34" s="51"/>
      <c r="G34" s="51"/>
      <c r="H34" s="51"/>
      <c r="I34" s="51"/>
      <c r="J34" s="51"/>
      <c r="K34" s="52" t="s">
        <v>24</v>
      </c>
    </row>
    <row r="35" spans="1:15" x14ac:dyDescent="0.2">
      <c r="A35" s="50">
        <f>H19</f>
        <v>16500</v>
      </c>
      <c r="B35" s="51" t="s">
        <v>40</v>
      </c>
      <c r="C35" s="51"/>
      <c r="D35" s="51"/>
      <c r="E35" s="51"/>
      <c r="F35" s="51"/>
      <c r="G35" s="51"/>
      <c r="H35" s="51"/>
      <c r="I35" s="51"/>
      <c r="J35" s="51"/>
      <c r="K35" s="52" t="s">
        <v>25</v>
      </c>
    </row>
    <row r="36" spans="1:15" x14ac:dyDescent="0.2">
      <c r="A36" s="53"/>
      <c r="B36" s="51"/>
      <c r="C36" s="51"/>
      <c r="D36" s="51"/>
      <c r="E36" s="51"/>
      <c r="F36" s="51"/>
      <c r="G36" s="27" t="s">
        <v>22</v>
      </c>
      <c r="H36" s="51"/>
      <c r="I36" s="51"/>
      <c r="J36" s="51"/>
      <c r="K36" s="52"/>
    </row>
    <row r="37" spans="1:15" ht="22.5" x14ac:dyDescent="0.2">
      <c r="A37" s="54"/>
      <c r="B37" s="29" t="s">
        <v>36</v>
      </c>
      <c r="C37" s="30" t="s">
        <v>19</v>
      </c>
      <c r="D37" s="30" t="s">
        <v>34</v>
      </c>
      <c r="E37" s="30" t="s">
        <v>35</v>
      </c>
      <c r="F37" s="55" t="s">
        <v>21</v>
      </c>
      <c r="G37" s="27" t="s">
        <v>33</v>
      </c>
      <c r="H37" s="51"/>
      <c r="I37" s="56"/>
      <c r="J37" s="56" t="s">
        <v>28</v>
      </c>
      <c r="K37" s="57" t="s">
        <v>30</v>
      </c>
    </row>
    <row r="38" spans="1:15" x14ac:dyDescent="0.2">
      <c r="A38" s="54"/>
      <c r="B38" s="33" t="s">
        <v>37</v>
      </c>
      <c r="C38" s="34" t="s">
        <v>20</v>
      </c>
      <c r="D38" s="34" t="s">
        <v>32</v>
      </c>
      <c r="E38" s="34" t="s">
        <v>23</v>
      </c>
      <c r="F38" s="58" t="s">
        <v>12</v>
      </c>
      <c r="G38" s="35" t="s">
        <v>23</v>
      </c>
      <c r="H38" s="58" t="s">
        <v>14</v>
      </c>
      <c r="I38" s="59" t="s">
        <v>13</v>
      </c>
      <c r="J38" s="59" t="s">
        <v>29</v>
      </c>
      <c r="K38" s="60" t="s">
        <v>29</v>
      </c>
    </row>
    <row r="39" spans="1:15" x14ac:dyDescent="0.2">
      <c r="A39" s="101" t="s">
        <v>115</v>
      </c>
      <c r="B39" s="96">
        <f>B27</f>
        <v>0.8</v>
      </c>
      <c r="C39" s="37">
        <f>H12</f>
        <v>49750</v>
      </c>
      <c r="D39" s="37">
        <f>D27</f>
        <v>0</v>
      </c>
      <c r="E39" s="37">
        <f>ROUND(SUM(C39:D39)*(1+$E$59),0)</f>
        <v>61939</v>
      </c>
      <c r="F39" s="37">
        <f>ROUND(((H12*2/12)+(C39*10/12*B39)+(D39*B39))*(1+$E$59),0)</f>
        <v>51616</v>
      </c>
      <c r="G39" s="61">
        <f>ROUND(A34*(1+$E$59),0)</f>
        <v>8715</v>
      </c>
      <c r="H39" s="61">
        <f>SUM(F39:G39)</f>
        <v>60331</v>
      </c>
      <c r="I39" s="61">
        <f>E39-SUM(F39:G39)</f>
        <v>1608</v>
      </c>
      <c r="J39" s="61">
        <f>ROUND(IF($E$39-$H$39&gt;0,IF($E$39-$H$39&gt;$G$42*10/36,$G$42*10/36,$E$39-$H$39),0),0)</f>
        <v>1608</v>
      </c>
      <c r="K39" s="62">
        <f>I39-J39</f>
        <v>0</v>
      </c>
    </row>
    <row r="40" spans="1:15" x14ac:dyDescent="0.2">
      <c r="A40" s="101" t="s">
        <v>116</v>
      </c>
      <c r="B40" s="96">
        <f>B28</f>
        <v>0.6</v>
      </c>
      <c r="C40" s="37">
        <f>ROUND(C39+(D39/10*12),0)</f>
        <v>49750</v>
      </c>
      <c r="D40" s="37">
        <f>D28</f>
        <v>0</v>
      </c>
      <c r="E40" s="37">
        <f>ROUND(SUM(C40:D40)*(1+$G$59),0)</f>
        <v>61939</v>
      </c>
      <c r="F40" s="37">
        <f>ROUND(((C40*2/12*B39)+(C40*10/12*B40)+(D40*B40))*(1+$G$59),0)</f>
        <v>39228</v>
      </c>
      <c r="G40" s="61">
        <f>ROUND(A34*(1+$G$59),0)</f>
        <v>8715</v>
      </c>
      <c r="H40" s="61">
        <f>SUM(F40:G40)</f>
        <v>47943</v>
      </c>
      <c r="I40" s="61">
        <f>E40-SUM(F40:G40)</f>
        <v>13996</v>
      </c>
      <c r="J40" s="61">
        <f>ROUND(IF($E$40-$H$40&gt;0,IF($E$40-$H$40&gt;($G$42*22/36-J39),$G$42*22/36-J39,$E$40-$H$40),0),0)</f>
        <v>8475</v>
      </c>
      <c r="K40" s="62">
        <f>I40-J40</f>
        <v>5521</v>
      </c>
      <c r="O40" s="99"/>
    </row>
    <row r="41" spans="1:15" x14ac:dyDescent="0.2">
      <c r="A41" s="101" t="s">
        <v>117</v>
      </c>
      <c r="B41" s="96">
        <f>B29</f>
        <v>0.6</v>
      </c>
      <c r="C41" s="37">
        <f>ROUND(C40+(D40/10*12),0)</f>
        <v>49750</v>
      </c>
      <c r="D41" s="37">
        <f>D29</f>
        <v>0</v>
      </c>
      <c r="E41" s="37">
        <f>ROUND(SUM(C41:D41)*(1+$I$59),0)</f>
        <v>61939</v>
      </c>
      <c r="F41" s="37">
        <f>ROUND(((C41*2/12*B40)+(C41*10/12*B41)+(D41*B41))*(1+$I$59),0)</f>
        <v>37163</v>
      </c>
      <c r="G41" s="61">
        <f>ROUND(A34*(1+$I$59),0)</f>
        <v>8715</v>
      </c>
      <c r="H41" s="61">
        <f>SUM(F41:G41)</f>
        <v>45878</v>
      </c>
      <c r="I41" s="61">
        <f>E41-SUM(F41:G41)</f>
        <v>16061</v>
      </c>
      <c r="J41" s="61">
        <f>ROUND(IF($E$41-$H$41&gt;0,IF($E$41-$H$41&gt;($G$42*34/36-SUM(J39:J40)),$G$42*34/36-SUM(J39:J40),$E$41-$H$41),0),0)</f>
        <v>5500</v>
      </c>
      <c r="K41" s="62">
        <f>I41-J41</f>
        <v>10561</v>
      </c>
      <c r="O41" s="100"/>
    </row>
    <row r="42" spans="1:15" x14ac:dyDescent="0.2">
      <c r="A42" s="101" t="s">
        <v>118</v>
      </c>
      <c r="B42" s="97"/>
      <c r="C42" s="39">
        <f>ROUND((C41+(D41/10*12))*2/12,0)</f>
        <v>8292</v>
      </c>
      <c r="D42" s="63"/>
      <c r="E42" s="39">
        <f>ROUND(SUM(C42:D42)*(1+$K$59),0)</f>
        <v>10324</v>
      </c>
      <c r="F42" s="39">
        <f>ROUND(((C42*B41))*(1+$K$59),0)</f>
        <v>6194</v>
      </c>
      <c r="G42" s="63">
        <f>A35</f>
        <v>16500</v>
      </c>
      <c r="H42" s="63">
        <f>SUM(F42:G42)</f>
        <v>22694</v>
      </c>
      <c r="I42" s="63">
        <f>E42-SUM(F42:G42)</f>
        <v>-12370</v>
      </c>
      <c r="J42" s="63">
        <f>ROUND(IF($E$42-$F$42&gt;0,IF($E$42-$F$42&gt;($G$42*36/36-SUM(J39:J41)),$G$42*36/36-SUM(J39:J41),$E$42-$F$42),0),0)</f>
        <v>917</v>
      </c>
      <c r="K42" s="64">
        <f>E42-F42-J42</f>
        <v>3213</v>
      </c>
      <c r="O42" s="99"/>
    </row>
    <row r="43" spans="1:15" x14ac:dyDescent="0.2">
      <c r="A43" s="53"/>
      <c r="B43" s="96">
        <f>SUM(B39:B41)</f>
        <v>2</v>
      </c>
      <c r="C43" s="41">
        <f t="shared" ref="C43:I43" si="1">SUM(C39:C42)</f>
        <v>157542</v>
      </c>
      <c r="D43" s="41"/>
      <c r="E43" s="41">
        <f t="shared" si="1"/>
        <v>196141</v>
      </c>
      <c r="F43" s="41">
        <f t="shared" si="1"/>
        <v>134201</v>
      </c>
      <c r="G43" s="41">
        <f t="shared" si="1"/>
        <v>42645</v>
      </c>
      <c r="H43" s="41">
        <f t="shared" si="1"/>
        <v>176846</v>
      </c>
      <c r="I43" s="41">
        <f t="shared" si="1"/>
        <v>19295</v>
      </c>
      <c r="J43" s="65">
        <f>SUM(J39:J42)</f>
        <v>16500</v>
      </c>
      <c r="K43" s="62">
        <f>SUM(K39:K42)</f>
        <v>19295</v>
      </c>
    </row>
    <row r="44" spans="1:15" x14ac:dyDescent="0.2">
      <c r="A44" s="42"/>
      <c r="B44" s="43"/>
      <c r="C44" s="43"/>
      <c r="D44" s="43"/>
      <c r="E44" s="43"/>
      <c r="F44" s="43"/>
      <c r="G44" s="43"/>
      <c r="H44" s="43"/>
      <c r="I44" s="43"/>
      <c r="J44" s="43"/>
      <c r="K44" s="66"/>
    </row>
    <row r="45" spans="1:15" x14ac:dyDescent="0.2">
      <c r="A45" s="46" t="s">
        <v>18</v>
      </c>
      <c r="B45" s="47"/>
      <c r="C45" s="48"/>
      <c r="D45" s="48"/>
      <c r="E45" s="48"/>
      <c r="F45" s="48"/>
      <c r="G45" s="48"/>
      <c r="H45" s="48"/>
      <c r="I45" s="48"/>
      <c r="J45" s="48"/>
      <c r="K45" s="49" t="s">
        <v>23</v>
      </c>
    </row>
    <row r="46" spans="1:15" x14ac:dyDescent="0.2">
      <c r="A46" s="67">
        <f>H13/3</f>
        <v>12500</v>
      </c>
      <c r="B46" s="51" t="s">
        <v>11</v>
      </c>
      <c r="C46" s="51"/>
      <c r="D46" s="51"/>
      <c r="E46" s="51"/>
      <c r="F46" s="51"/>
      <c r="G46" s="51"/>
      <c r="H46" s="51"/>
      <c r="I46" s="51"/>
      <c r="J46" s="51"/>
      <c r="K46" s="52" t="s">
        <v>24</v>
      </c>
    </row>
    <row r="47" spans="1:15" x14ac:dyDescent="0.2">
      <c r="A47" s="53"/>
      <c r="B47" s="51"/>
      <c r="C47" s="51"/>
      <c r="D47" s="51"/>
      <c r="E47" s="51"/>
      <c r="F47" s="51"/>
      <c r="G47" s="27" t="s">
        <v>22</v>
      </c>
      <c r="H47" s="51"/>
      <c r="I47" s="51"/>
      <c r="J47" s="51"/>
      <c r="K47" s="57"/>
    </row>
    <row r="48" spans="1:15" ht="22.5" x14ac:dyDescent="0.2">
      <c r="A48" s="54"/>
      <c r="B48" s="29" t="s">
        <v>36</v>
      </c>
      <c r="C48" s="30" t="s">
        <v>19</v>
      </c>
      <c r="D48" s="30" t="s">
        <v>34</v>
      </c>
      <c r="E48" s="30" t="s">
        <v>35</v>
      </c>
      <c r="F48" s="55" t="s">
        <v>21</v>
      </c>
      <c r="G48" s="27" t="s">
        <v>33</v>
      </c>
      <c r="H48" s="51"/>
      <c r="I48" s="56"/>
      <c r="J48" s="56" t="s">
        <v>28</v>
      </c>
      <c r="K48" s="57" t="s">
        <v>30</v>
      </c>
    </row>
    <row r="49" spans="1:11" x14ac:dyDescent="0.2">
      <c r="A49" s="54"/>
      <c r="B49" s="33" t="s">
        <v>37</v>
      </c>
      <c r="C49" s="34" t="s">
        <v>20</v>
      </c>
      <c r="D49" s="34" t="s">
        <v>32</v>
      </c>
      <c r="E49" s="34" t="s">
        <v>23</v>
      </c>
      <c r="F49" s="58" t="s">
        <v>12</v>
      </c>
      <c r="G49" s="35" t="s">
        <v>23</v>
      </c>
      <c r="H49" s="58" t="s">
        <v>14</v>
      </c>
      <c r="I49" s="59" t="s">
        <v>13</v>
      </c>
      <c r="J49" s="59" t="s">
        <v>29</v>
      </c>
      <c r="K49" s="60" t="s">
        <v>29</v>
      </c>
    </row>
    <row r="50" spans="1:11" x14ac:dyDescent="0.2">
      <c r="A50" s="53" t="s">
        <v>115</v>
      </c>
      <c r="B50" s="96">
        <f>B27</f>
        <v>0.8</v>
      </c>
      <c r="C50" s="61">
        <f>H12</f>
        <v>49750</v>
      </c>
      <c r="D50" s="37">
        <f>D27</f>
        <v>0</v>
      </c>
      <c r="E50" s="37">
        <f>ROUND(SUM(C50:D50)*(1+$E$59),0)</f>
        <v>61939</v>
      </c>
      <c r="F50" s="37">
        <f>ROUND(((H12*2/12)+(C50*10/12*B50)+(D50*B50))*(1+$E$59),0)</f>
        <v>51616</v>
      </c>
      <c r="G50" s="61">
        <f>ROUND(A46*(1+$E$59),0)</f>
        <v>15563</v>
      </c>
      <c r="H50" s="61">
        <f>SUM(F50:G50)</f>
        <v>67179</v>
      </c>
      <c r="I50" s="61">
        <f>E50-SUM(F50:G50)</f>
        <v>-5240</v>
      </c>
      <c r="J50" s="61"/>
      <c r="K50" s="62">
        <f>I50-J50</f>
        <v>-5240</v>
      </c>
    </row>
    <row r="51" spans="1:11" x14ac:dyDescent="0.2">
      <c r="A51" s="53" t="s">
        <v>116</v>
      </c>
      <c r="B51" s="96">
        <f>B28</f>
        <v>0.6</v>
      </c>
      <c r="C51" s="37">
        <f>ROUND(C50+(D50/10*12),0)</f>
        <v>49750</v>
      </c>
      <c r="D51" s="37">
        <f>D28</f>
        <v>0</v>
      </c>
      <c r="E51" s="37">
        <f>ROUND(SUM(C51:D51)*(1+$G$59),0)</f>
        <v>61939</v>
      </c>
      <c r="F51" s="37">
        <f>ROUND(((C51*2/12*B50)+(C51*10/12*B51)+(D51*B51))*(1+$G$59),0)</f>
        <v>39228</v>
      </c>
      <c r="G51" s="61">
        <f>ROUND(A46*(1+$G$59),0)</f>
        <v>15563</v>
      </c>
      <c r="H51" s="61">
        <f>SUM(F51:G51)</f>
        <v>54791</v>
      </c>
      <c r="I51" s="61">
        <f>E51-SUM(F51:G51)</f>
        <v>7148</v>
      </c>
      <c r="J51" s="61"/>
      <c r="K51" s="62">
        <f>I51-J51</f>
        <v>7148</v>
      </c>
    </row>
    <row r="52" spans="1:11" x14ac:dyDescent="0.2">
      <c r="A52" s="53" t="s">
        <v>117</v>
      </c>
      <c r="B52" s="96">
        <f>B29</f>
        <v>0.6</v>
      </c>
      <c r="C52" s="37">
        <f>ROUND(C51+(D51/10*12),0)</f>
        <v>49750</v>
      </c>
      <c r="D52" s="37">
        <f>D29</f>
        <v>0</v>
      </c>
      <c r="E52" s="37">
        <f>ROUND(SUM(C52:D52)*(1+$I$59),0)</f>
        <v>61939</v>
      </c>
      <c r="F52" s="37">
        <f>ROUND(((C52*2/12*B51)+(C52*10/12*B52)+(D52*B52))*(1+$I$59),0)</f>
        <v>37163</v>
      </c>
      <c r="G52" s="61">
        <f>ROUND(A46*(1+$I$59),0)</f>
        <v>15563</v>
      </c>
      <c r="H52" s="61">
        <f>SUM(F52:G52)</f>
        <v>52726</v>
      </c>
      <c r="I52" s="61">
        <f>E52-SUM(F52:G52)</f>
        <v>9213</v>
      </c>
      <c r="J52" s="61"/>
      <c r="K52" s="62">
        <f>I52-J52</f>
        <v>9213</v>
      </c>
    </row>
    <row r="53" spans="1:11" x14ac:dyDescent="0.2">
      <c r="A53" s="53" t="s">
        <v>118</v>
      </c>
      <c r="B53" s="97"/>
      <c r="C53" s="39">
        <f>ROUND((C52+(D52/10*12))*2/12,0)</f>
        <v>8292</v>
      </c>
      <c r="D53" s="63"/>
      <c r="E53" s="39">
        <f>ROUND(SUM(C53:D53)*(1+$K$59),0)</f>
        <v>10324</v>
      </c>
      <c r="F53" s="39">
        <f>ROUND(((C53*B52))*(1+$K$59),0)</f>
        <v>6194</v>
      </c>
      <c r="G53" s="68">
        <v>0</v>
      </c>
      <c r="H53" s="63">
        <f>SUM(F53:G53)</f>
        <v>6194</v>
      </c>
      <c r="I53" s="63">
        <f>E53-SUM(F53:G53)</f>
        <v>4130</v>
      </c>
      <c r="J53" s="63"/>
      <c r="K53" s="64">
        <f>E53-F53-J53</f>
        <v>4130</v>
      </c>
    </row>
    <row r="54" spans="1:11" x14ac:dyDescent="0.2">
      <c r="A54" s="53"/>
      <c r="B54" s="96">
        <f>SUM(B50:B52)</f>
        <v>2</v>
      </c>
      <c r="C54" s="41">
        <f t="shared" ref="C54:I54" si="2">SUM(C50:C53)</f>
        <v>157542</v>
      </c>
      <c r="D54" s="41"/>
      <c r="E54" s="41">
        <f t="shared" si="2"/>
        <v>196141</v>
      </c>
      <c r="F54" s="41">
        <f t="shared" si="2"/>
        <v>134201</v>
      </c>
      <c r="G54" s="41">
        <f t="shared" si="2"/>
        <v>46689</v>
      </c>
      <c r="H54" s="41">
        <f t="shared" si="2"/>
        <v>180890</v>
      </c>
      <c r="I54" s="41">
        <f t="shared" si="2"/>
        <v>15251</v>
      </c>
      <c r="J54" s="65">
        <f>SUM(J50:J53)</f>
        <v>0</v>
      </c>
      <c r="K54" s="62">
        <f>SUM(K50:K53)</f>
        <v>15251</v>
      </c>
    </row>
    <row r="55" spans="1:11" x14ac:dyDescent="0.2">
      <c r="A55" s="42"/>
      <c r="B55" s="43"/>
      <c r="C55" s="43"/>
      <c r="D55" s="43"/>
      <c r="E55" s="43"/>
      <c r="F55" s="43"/>
      <c r="G55" s="43"/>
      <c r="H55" s="43"/>
      <c r="I55" s="43"/>
      <c r="J55" s="43"/>
      <c r="K55" s="45"/>
    </row>
    <row r="57" spans="1:11" x14ac:dyDescent="0.2">
      <c r="A57" s="6" t="s">
        <v>97</v>
      </c>
    </row>
    <row r="58" spans="1:11" x14ac:dyDescent="0.2">
      <c r="A58" s="6" t="s">
        <v>15</v>
      </c>
    </row>
    <row r="59" spans="1:11" x14ac:dyDescent="0.2">
      <c r="A59" s="106" t="s">
        <v>27</v>
      </c>
      <c r="B59" s="107"/>
      <c r="C59" s="69"/>
      <c r="D59" s="70" t="s">
        <v>115</v>
      </c>
      <c r="E59" s="78">
        <v>0.245</v>
      </c>
      <c r="F59" s="70" t="s">
        <v>116</v>
      </c>
      <c r="G59" s="78">
        <f>E59</f>
        <v>0.245</v>
      </c>
      <c r="H59" s="70" t="s">
        <v>117</v>
      </c>
      <c r="I59" s="78">
        <v>0.245</v>
      </c>
      <c r="J59" s="70" t="s">
        <v>118</v>
      </c>
      <c r="K59" s="78">
        <v>0.245</v>
      </c>
    </row>
  </sheetData>
  <mergeCells count="3">
    <mergeCell ref="A59:B59"/>
    <mergeCell ref="G2:H2"/>
    <mergeCell ref="F3:H3"/>
  </mergeCells>
  <phoneticPr fontId="2" type="noConversion"/>
  <pageMargins left="0.7" right="0.7" top="0.75" bottom="0.75" header="0.3" footer="0.3"/>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How To</vt:lpstr>
      <vt:lpstr>Calculation</vt:lpstr>
      <vt:lpstr>Calculation!Print_Area</vt:lpstr>
    </vt:vector>
  </TitlesOfParts>
  <Company>University of Toronto @ Mississauga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zammitel</dc:creator>
  <cp:lastModifiedBy>Farzana Reburiano</cp:lastModifiedBy>
  <cp:lastPrinted>2012-10-15T15:06:23Z</cp:lastPrinted>
  <dcterms:created xsi:type="dcterms:W3CDTF">2009-08-18T14:11:00Z</dcterms:created>
  <dcterms:modified xsi:type="dcterms:W3CDTF">2024-08-26T16:20:13Z</dcterms:modified>
</cp:coreProperties>
</file>